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hidePivotFieldList="1"/>
  <bookViews>
    <workbookView windowWidth="18345" windowHeight="6810" tabRatio="869"/>
  </bookViews>
  <sheets>
    <sheet name="I. Parametros Grales" sheetId="1" r:id="rId1"/>
    <sheet name="I.1 Proyecciones Población" sheetId="29" r:id="rId2"/>
    <sheet name="II. Caracterizacion RSU" sheetId="4" r:id="rId3"/>
    <sheet name="III. Sit. Actual O-D" sheetId="39" r:id="rId4"/>
    <sheet name="III.1 Recolección" sheetId="45" r:id="rId5"/>
    <sheet name="IV. Sit. Sin Proy O-D" sheetId="5" r:id="rId6"/>
    <sheet name="IV.1 CAE Alt 1" sheetId="24" r:id="rId7"/>
    <sheet name="IV.2 CAE Alt 2" sheetId="25" r:id="rId8"/>
    <sheet name="IV2.2. Costos Alt2" sheetId="28" r:id="rId9"/>
    <sheet name="IV2.3. CostosOPEX Alt2" sheetId="42" r:id="rId10"/>
    <sheet name="V. Sit.Con Proyecto" sheetId="10" r:id="rId11"/>
    <sheet name="V.2 Capacidad ET" sheetId="35" r:id="rId12"/>
    <sheet name="V.3 Capacidad Planta de CDR" sheetId="44" r:id="rId13"/>
    <sheet name="VI. Cuanti_Beneficios" sheetId="6" r:id="rId14"/>
    <sheet name="VII. Costos de Inversión" sheetId="15" r:id="rId15"/>
    <sheet name="VII.1 Calendario" sheetId="41" r:id="rId16"/>
    <sheet name="Hoja1" sheetId="37" state="hidden" r:id="rId17"/>
    <sheet name="IX. Costos MantenimientoMayor" sheetId="27" r:id="rId18"/>
    <sheet name="VIII. Costos Op y Mant" sheetId="26" r:id="rId19"/>
    <sheet name="X. Evaluacion Social" sheetId="19" r:id="rId20"/>
    <sheet name="XIa. Sensibilidad A" sheetId="21" r:id="rId21"/>
    <sheet name="XIb. Sensibilidad B" sheetId="22" r:id="rId22"/>
    <sheet name="XIc. Sensibilidad C" sheetId="23" r:id="rId23"/>
  </sheets>
  <externalReferences>
    <externalReference r:id="rId24"/>
    <externalReference r:id="rId25"/>
    <externalReference r:id="rId26"/>
  </externalReferences>
  <definedNames>
    <definedName name="_xlnm._FilterDatabase" localSheetId="17" hidden="1">'IX. Costos MantenimientoMayor'!$B$4:$AB$35</definedName>
  </definedNames>
  <calcPr calcId="144525"/>
</workbook>
</file>

<file path=xl/sharedStrings.xml><?xml version="1.0" encoding="utf-8"?>
<sst xmlns="http://schemas.openxmlformats.org/spreadsheetml/2006/main" count="3858" uniqueCount="1061">
  <si>
    <t>PROYECTO DE GESTIÓN INTEGRAL DE RESIDUOS PARA EL MUNICIPIO DE CHIHUAHUA</t>
  </si>
  <si>
    <t>Parametros Generales</t>
  </si>
  <si>
    <t>Tabla 1. Parámetros del Proyecto</t>
  </si>
  <si>
    <t>Días al año</t>
  </si>
  <si>
    <t>Semanas al año</t>
  </si>
  <si>
    <t>Tasa social de descuento</t>
  </si>
  <si>
    <t>Año Base</t>
  </si>
  <si>
    <t>Horizonte de Evaluación (años)</t>
  </si>
  <si>
    <t>Fuente: Estudio Diagnóstico</t>
  </si>
  <si>
    <t xml:space="preserve">Tabla 2. Datos Básicos de la Estación de Transferencia (ET)  y PSTRS </t>
  </si>
  <si>
    <t>Concepto</t>
  </si>
  <si>
    <t>Unidad</t>
  </si>
  <si>
    <t>Cantidad</t>
  </si>
  <si>
    <t>Número de turnos ET</t>
  </si>
  <si>
    <t>#</t>
  </si>
  <si>
    <t>Horas por turno E. Transf.</t>
  </si>
  <si>
    <t>h</t>
  </si>
  <si>
    <t>Número de turnos PSTRS</t>
  </si>
  <si>
    <t>Horas por turno PSTRS</t>
  </si>
  <si>
    <t>Días por semana (ET y PSTRS)</t>
  </si>
  <si>
    <t>días</t>
  </si>
  <si>
    <t>Horas por semana ET</t>
  </si>
  <si>
    <t>h/semana</t>
  </si>
  <si>
    <t>Horas por Semana PSTRS</t>
  </si>
  <si>
    <t>Capacidad nominal de equipo de compactación ET</t>
  </si>
  <si>
    <t>t/h</t>
  </si>
  <si>
    <t>Costo promedio del diesel</t>
  </si>
  <si>
    <t>lto</t>
  </si>
  <si>
    <t>Fuente: Precios Promedio Chihuahua acorde a información compartida por la Comisión Reguladora de Energía y reportados en www.gasolinamexico.com.mx (A Febrero 2024)</t>
  </si>
  <si>
    <t>Costo promedio de la gasolina</t>
  </si>
  <si>
    <t>Costo lubricantes sobre el costo del diésel</t>
  </si>
  <si>
    <t xml:space="preserve">% </t>
  </si>
  <si>
    <t>Fuente:</t>
  </si>
  <si>
    <t>Parámetrico utilizado por el consultor de acuerdo con estimaciones de usuarios de maquinaria consultados, incluye (Aceite, filtros, etc.)</t>
  </si>
  <si>
    <t>Tarifa de EE en media tensión TARIFA GDMTH base (HM)</t>
  </si>
  <si>
    <t>$/kW-h</t>
  </si>
  <si>
    <t xml:space="preserve">Pagina de CFE a enero del 2024 </t>
  </si>
  <si>
    <t>app.cfe.mx/Aplicaciones/CCFE/Tarifas/TarifasCRENegocio/Tarifas/GranDemandaMTH.aspx</t>
  </si>
  <si>
    <t>Tarifa de EE en media tensión TARIFA GDMTH intermedia (HM)</t>
  </si>
  <si>
    <t>Tarifa de EE en media tensión TARIFA GDMTH punta (HM)</t>
  </si>
  <si>
    <t>Tarifa de EE en media tensión TARIFA GDMTH promedio ponderado (HM) ET</t>
  </si>
  <si>
    <t>Ver cálculos</t>
  </si>
  <si>
    <t>Tarifa de EE en media tensión TARIFA GDMTH promedio ponderado (HM) PSTRS</t>
  </si>
  <si>
    <t>Distribución</t>
  </si>
  <si>
    <t>$/kW</t>
  </si>
  <si>
    <t>Capacidad</t>
  </si>
  <si>
    <t>Costos de Distribución + Capacidad respecto al Consumo</t>
  </si>
  <si>
    <t>%</t>
  </si>
  <si>
    <t>Estimación conservadora del consultor, incluye cargos de distribución y capacidad (35% de la tarifa punta)</t>
  </si>
  <si>
    <t>Regiones Central, Noreste, Noroeste, Norte, Peninsular y Sur</t>
  </si>
  <si>
    <t>TARIFAS y Horarios 
Tarifa de EE en media tensión TARIFA GDMTH (HM) por Segmento Tarifario</t>
  </si>
  <si>
    <t>BASE</t>
  </si>
  <si>
    <t>INTERMEDIO</t>
  </si>
  <si>
    <t>PUNTA</t>
  </si>
  <si>
    <t>PROMEDIO</t>
  </si>
  <si>
    <t>Del primer domingo de abril al sábado anterior al último domingo de octubre</t>
  </si>
  <si>
    <t>Lunes a Viernes</t>
  </si>
  <si>
    <t>0:00 - 6:00</t>
  </si>
  <si>
    <t>6:00 - 20:00</t>
  </si>
  <si>
    <t>20:00 - 22:00</t>
  </si>
  <si>
    <t>22:00 - 24:00</t>
  </si>
  <si>
    <t>Sabado</t>
  </si>
  <si>
    <t>0:00 - 7:00</t>
  </si>
  <si>
    <t>7:00 - 24:00</t>
  </si>
  <si>
    <t>Domingo y festivo</t>
  </si>
  <si>
    <t>0:00 - 19:00</t>
  </si>
  <si>
    <t>19:00 - 24:00</t>
  </si>
  <si>
    <t>TARIFA</t>
  </si>
  <si>
    <t>Número de meses</t>
  </si>
  <si>
    <t>ET</t>
  </si>
  <si>
    <t># horas/semana</t>
  </si>
  <si>
    <t>HORARIO DE 08:00 - 16:00</t>
  </si>
  <si>
    <t>PSTRS</t>
  </si>
  <si>
    <t>HORARIO DE 08:00 - 24:00</t>
  </si>
  <si>
    <t>Del último domingo de octubre al sábado anterior al primer domingo de abril</t>
  </si>
  <si>
    <t>lunes a viernes</t>
  </si>
  <si>
    <t>6:00 - 18:00</t>
  </si>
  <si>
    <t>18:00 - 22:00</t>
  </si>
  <si>
    <t>sábado</t>
  </si>
  <si>
    <t>0:00 - 8:00</t>
  </si>
  <si>
    <t>8:00 - 19:00</t>
  </si>
  <si>
    <t>19:00 - 21:00</t>
  </si>
  <si>
    <t>21:00 - 24:00</t>
  </si>
  <si>
    <t>domingo y festivo</t>
  </si>
  <si>
    <t>0:00 - 18:00</t>
  </si>
  <si>
    <t>18:00 - 24:00</t>
  </si>
  <si>
    <t>PSTRS:</t>
  </si>
  <si>
    <t>Nota</t>
  </si>
  <si>
    <t>Tarifa promedio</t>
  </si>
  <si>
    <t>Cargo por consumo</t>
  </si>
  <si>
    <t>$/mes</t>
  </si>
  <si>
    <t>Cargo por capacidad</t>
  </si>
  <si>
    <t>Sobre consumo</t>
  </si>
  <si>
    <t>Qmensual/(24 * d *F.C.)</t>
  </si>
  <si>
    <t>kW</t>
  </si>
  <si>
    <t>Qmensual</t>
  </si>
  <si>
    <t>kW-h/mes</t>
  </si>
  <si>
    <t>d</t>
  </si>
  <si>
    <t>Nota: Los 30 días considerados en el factor "d" son los días de facturación en el recibo de CFE del mes correspondiente. Y se aplica haya o no consumo. Por tanto no es necesariamente coincidente con los días de operación.</t>
  </si>
  <si>
    <t>F.C.</t>
  </si>
  <si>
    <t>adimensional</t>
  </si>
  <si>
    <t>Factor de carga correspondiente del apartado 3.1.2 del Anexo Único del Acuerdo A/053/2022.</t>
  </si>
  <si>
    <t>Dmax punta:</t>
  </si>
  <si>
    <t>Demanda promedio</t>
  </si>
  <si>
    <t>Factor Dmax punta/Dpromedio</t>
  </si>
  <si>
    <t>Nota: Dato eléctrico típico
Considera que se utiliza un modo de arranque lento y secuencial de motores  + banco de capacitores</t>
  </si>
  <si>
    <t>Demanda mínima para cálculo</t>
  </si>
  <si>
    <t>Cargo por distribución</t>
  </si>
  <si>
    <t>Dmax mensual:</t>
  </si>
  <si>
    <t>Factor Dmax mensual/Dpromedio</t>
  </si>
  <si>
    <t xml:space="preserve">Tabla 3. Días al año de Operación </t>
  </si>
  <si>
    <t>Días</t>
  </si>
  <si>
    <t>Dias por año en operación en dos turnos + 1 de mantenimiento.</t>
  </si>
  <si>
    <t>Fuente: Análisis Técnico. 
Nota: Los demas días no se encuentra en operación por ser día inhábil y se utiliza sólo para determinar la capacidad de maquinaria.</t>
  </si>
  <si>
    <t>Tabla 4. Consumo de Energía Electrica Requerida por la Planta de Separación (PSTRS)</t>
  </si>
  <si>
    <t>Equipo</t>
  </si>
  <si>
    <t>kW Inst</t>
  </si>
  <si>
    <t>kW-Op</t>
  </si>
  <si>
    <t>h/d en oper.</t>
  </si>
  <si>
    <t>kW-h/d</t>
  </si>
  <si>
    <t>kW-h/año</t>
  </si>
  <si>
    <t xml:space="preserve">Alimentador de Planta A </t>
  </si>
  <si>
    <t>Alimentador de Planta B</t>
  </si>
  <si>
    <t xml:space="preserve">Cinta de alimentación de Planta A </t>
  </si>
  <si>
    <t xml:space="preserve">Cinta de selección Primaria A </t>
  </si>
  <si>
    <t xml:space="preserve">Cinta de selección primaria B </t>
  </si>
  <si>
    <t xml:space="preserve">Cinta de alimentación a Trómel A </t>
  </si>
  <si>
    <t xml:space="preserve">Cinta de alimentación a Trómel B </t>
  </si>
  <si>
    <t xml:space="preserve">Separador Magnético antes de Trómel A </t>
  </si>
  <si>
    <t xml:space="preserve">Separador Magnético antes de Trómel B </t>
  </si>
  <si>
    <t xml:space="preserve">TROMEL DE FINOS_ORGANICO A </t>
  </si>
  <si>
    <t xml:space="preserve">TROMEL DE FINOS_ORGANICO B </t>
  </si>
  <si>
    <t xml:space="preserve">Cinta colectora rebose de Trómel A </t>
  </si>
  <si>
    <t xml:space="preserve">Cinta colectora de rebose de Trómel B </t>
  </si>
  <si>
    <t xml:space="preserve">Cinta transportadora de rebose de Trómel A </t>
  </si>
  <si>
    <t xml:space="preserve">Cinta transportadora de rebose de Trómel B </t>
  </si>
  <si>
    <t xml:space="preserve">Cinta de selección secundaria A </t>
  </si>
  <si>
    <t xml:space="preserve">Cinta de selección secundaria B </t>
  </si>
  <si>
    <t xml:space="preserve">Abre Bolsas A </t>
  </si>
  <si>
    <t xml:space="preserve">Abre Bolsas B </t>
  </si>
  <si>
    <t xml:space="preserve">Cinta de alimentación a Balístico A </t>
  </si>
  <si>
    <t xml:space="preserve">Cinta de alimentación a Balístico B </t>
  </si>
  <si>
    <t xml:space="preserve">Separador Balístico A STT5000_8 </t>
  </si>
  <si>
    <t xml:space="preserve">Separador Balístico B STT5000_8 </t>
  </si>
  <si>
    <t xml:space="preserve">Cinta de selección manual de 2D A </t>
  </si>
  <si>
    <t xml:space="preserve">Cinta de selección manual de 2D B </t>
  </si>
  <si>
    <t xml:space="preserve">Cinta colectora de rechazo de 2D </t>
  </si>
  <si>
    <t xml:space="preserve">Cinta colectora de 3D de Balísticos </t>
  </si>
  <si>
    <t xml:space="preserve">Separador Magnético de 3D </t>
  </si>
  <si>
    <t xml:space="preserve">Cinta Transportadora de 3D </t>
  </si>
  <si>
    <t xml:space="preserve">Cinta de selección Manual de 3D </t>
  </si>
  <si>
    <t xml:space="preserve">Cinta Colectora de rechazo de 3D </t>
  </si>
  <si>
    <t xml:space="preserve">Cinta transportadora de rechazo de 3D II </t>
  </si>
  <si>
    <t xml:space="preserve">Cinta de descarga de rechazo de 3D </t>
  </si>
  <si>
    <t xml:space="preserve">Cinta colectora de Finos de Balístico A </t>
  </si>
  <si>
    <t xml:space="preserve">Cinta colectora de Finos de Balístico B </t>
  </si>
  <si>
    <t xml:space="preserve">Cinta Transportadoras de Finos de Balísticos </t>
  </si>
  <si>
    <t xml:space="preserve">Cinta colectora de Trómel A II </t>
  </si>
  <si>
    <t xml:space="preserve">Cinta colectora de finos de Trómel B II </t>
  </si>
  <si>
    <t xml:space="preserve">Cinta Transportadora de Finos </t>
  </si>
  <si>
    <t xml:space="preserve">Cinta de Descarga de Finos </t>
  </si>
  <si>
    <t xml:space="preserve">Cinta transportadora de 2D a trituración </t>
  </si>
  <si>
    <t xml:space="preserve">Separador Magnético CDR </t>
  </si>
  <si>
    <t xml:space="preserve">Cinta de distribución de CDR </t>
  </si>
  <si>
    <t xml:space="preserve">Triturador de CDR </t>
  </si>
  <si>
    <t xml:space="preserve">Cinta colectora de CDR Triturado </t>
  </si>
  <si>
    <t xml:space="preserve">Alimentador de Prensa </t>
  </si>
  <si>
    <t xml:space="preserve">Prensa de Reciclables </t>
  </si>
  <si>
    <t xml:space="preserve">Prensa de CDR </t>
  </si>
  <si>
    <t xml:space="preserve">Embaladora </t>
  </si>
  <si>
    <t>Total</t>
  </si>
  <si>
    <t>Fuente: Análisis Técnico</t>
  </si>
  <si>
    <t>Nota: En lo que respecta a los kW-Op, se toma en cuenta el criterio de diseno del proveedor, el cual considera que se utiliza un 77% de la capacidad límite del motor.</t>
  </si>
  <si>
    <t>Tabla 5. Parámetros de Relleno Sanitario</t>
  </si>
  <si>
    <t>Tabla 6. Parámetros de Combustible Derivado de Residuos</t>
  </si>
  <si>
    <t>Relleno Sanitario</t>
  </si>
  <si>
    <t>Combustible derivado de Residuos</t>
  </si>
  <si>
    <t>Profundidad Maxima De Basura A Compactar</t>
  </si>
  <si>
    <t>M</t>
  </si>
  <si>
    <t>Densidad De Basura Sin Compactar</t>
  </si>
  <si>
    <t>KG/M3</t>
  </si>
  <si>
    <t>Coeficiente de CDR Organico</t>
  </si>
  <si>
    <t>Precio CDR Verde ($/Ton)</t>
  </si>
  <si>
    <t>Densidad De Basura Compacta</t>
  </si>
  <si>
    <t>Coeficiente de CDR Plástico</t>
  </si>
  <si>
    <t>Precio CDR Plastico ($/Ton)</t>
  </si>
  <si>
    <t>Densidad Suelo Compacto</t>
  </si>
  <si>
    <t>Fuente: Estudio Diagnóstico de Chihuahua (2023)</t>
  </si>
  <si>
    <t>Espesor De Cobertura Diaria Min</t>
  </si>
  <si>
    <t>Coef. Capas Intermedias De Cobertura (Cc)</t>
  </si>
  <si>
    <t>Coef. Eficiencia En El Vertido (Ce)</t>
  </si>
  <si>
    <t>Tabla 7. Precio del Combustible</t>
  </si>
  <si>
    <t>Combustible ($/lt)</t>
  </si>
  <si>
    <t>Costo Diesel</t>
  </si>
  <si>
    <t>Costo Gasolina</t>
  </si>
  <si>
    <t>Tabla 8. Tipo de Cambio</t>
  </si>
  <si>
    <t>Bonos de Carbono</t>
  </si>
  <si>
    <t>Tipo de Cambio</t>
  </si>
  <si>
    <t>Fuente: Promedio de la Tasa de cambio UN Operational Rates of Exchange considerando los últimos 5 años (2023)
https://treasury.un.org/operationalrates/OperationalRates.php</t>
  </si>
  <si>
    <t>Tabla 9. Proyección del Valor de los Certificados de Carbono</t>
  </si>
  <si>
    <t>Año</t>
  </si>
  <si>
    <t>Precio de Venta (USD/Bono)</t>
  </si>
  <si>
    <t>Valor Mínimo</t>
  </si>
  <si>
    <t>Valor Máximo</t>
  </si>
  <si>
    <t>Valor central</t>
  </si>
  <si>
    <t>Fuente: CEPAL (2019), "Precio social del carbono y la inversión pública en América Latina y el Caribe" en https://www.cepal.org/sites/default/files/1_cepal_precio_social_del_carbono_cop25.pdf
Se toma el valor mínimo establecido por el Banco mundial:
"Al realizar un análisis económico de proyectos, se aplica un precio bajo y alto, comenzando en US $ 40 / tCO2e y US $ 80t / CO2e, respectivamente, en 2020, y aumentando a US $ 50 / tCO2e y $ 100 / tCO2e para el 2030. Más allá de 2030, el precio aumenta a una tasa de 2,25% anual hasta 2050".</t>
  </si>
  <si>
    <t>*Es importante destacar que la tasa de crecimiento del precio social del carbono es en términos reales y trata de calcular el creciente daño ambiental, no se trata de una tasa de crecimiento relacionada con la inflación y la pérdida de poder adquisitivo. Distintos análisis en los que se calcula el precio social de carbono para evaluaciones socioeconómicas considera alguna tasa de crecimiento en términos reales.</t>
  </si>
  <si>
    <t>Tabla 10. Porcentaje de Cobertura de Recolección</t>
  </si>
  <si>
    <t>Tipo de Residuo</t>
  </si>
  <si>
    <t>Valor</t>
  </si>
  <si>
    <t>Valor Considerado para diseno</t>
  </si>
  <si>
    <t>RSU</t>
  </si>
  <si>
    <t>RME</t>
  </si>
  <si>
    <t>Nota: Se considera el 100% de valor de diseno ya que se han venido incrementado las unidades de recolección y por considerar las características más estrictas para diseno.</t>
  </si>
  <si>
    <t>PARAMETROS METODOLOGÍA INECC</t>
  </si>
  <si>
    <t>Tabla 11. Parametros Metodología Instituto Nacional de Ecología y Cambio Climático</t>
  </si>
  <si>
    <t>Valores COD por categoría (Tabla 6)</t>
  </si>
  <si>
    <t xml:space="preserve">Categoría de residuos j </t>
  </si>
  <si>
    <t>Comida</t>
  </si>
  <si>
    <t>Jardín</t>
  </si>
  <si>
    <t>Papel</t>
  </si>
  <si>
    <t xml:space="preserve">  Madera y paja</t>
  </si>
  <si>
    <t>Textiles</t>
  </si>
  <si>
    <t>Pañales</t>
  </si>
  <si>
    <t>Fuente: INECC</t>
  </si>
  <si>
    <t>Tabla 12. Parametros Metodología Instituto Nacional de Ecología y Cambio Climático</t>
  </si>
  <si>
    <t>Composición de RSU</t>
  </si>
  <si>
    <t>Caracterización RSU</t>
  </si>
  <si>
    <t>Cj/100</t>
  </si>
  <si>
    <t>Tabla 13. Parametros Metodología Instituto Nacional de Ecología y Cambio Climático</t>
  </si>
  <si>
    <t>Tabla 4. Valores de la constante de descomposición (kj) por categoría de residuos j y entidad federativa</t>
  </si>
  <si>
    <t>k1: Comida</t>
  </si>
  <si>
    <t xml:space="preserve">k2:Jardín </t>
  </si>
  <si>
    <t xml:space="preserve">k3:Papel </t>
  </si>
  <si>
    <t xml:space="preserve">k4:Madera y paja </t>
  </si>
  <si>
    <t>k5:Textiles</t>
  </si>
  <si>
    <t>k6:Pañales</t>
  </si>
  <si>
    <t>Chihuahua</t>
  </si>
  <si>
    <t>Tabla 14. Parametros Metodología Instituto Nacional de Ecología y Cambio Climático</t>
  </si>
  <si>
    <t>Potencial de Calentamiento Global</t>
  </si>
  <si>
    <r>
      <rPr>
        <b/>
        <sz val="10"/>
        <color rgb="FF2F2F2F"/>
        <rFont val="Calibri"/>
        <charset val="134"/>
        <scheme val="minor"/>
      </rPr>
      <t>VII.</t>
    </r>
    <r>
      <rPr>
        <sz val="10"/>
        <color rgb="FF2F2F2F"/>
        <rFont val="Calibri"/>
        <charset val="134"/>
        <scheme val="minor"/>
      </rPr>
      <t>   </t>
    </r>
    <r>
      <rPr>
        <b/>
        <sz val="10"/>
        <color rgb="FF2F2F2F"/>
        <rFont val="Calibri"/>
        <charset val="134"/>
        <scheme val="minor"/>
      </rPr>
      <t>Metano (CH4):</t>
    </r>
  </si>
  <si>
    <r>
      <rPr>
        <b/>
        <sz val="10"/>
        <color rgb="FF2F2F2F"/>
        <rFont val="Calibri"/>
        <charset val="134"/>
        <scheme val="minor"/>
      </rPr>
      <t>VIII.</t>
    </r>
    <r>
      <rPr>
        <sz val="10"/>
        <color rgb="FF2F2F2F"/>
        <rFont val="Calibri"/>
        <charset val="134"/>
        <scheme val="minor"/>
      </rPr>
      <t>  </t>
    </r>
    <r>
      <rPr>
        <b/>
        <sz val="10"/>
        <color rgb="FF2F2F2F"/>
        <rFont val="Calibri"/>
        <charset val="134"/>
        <scheme val="minor"/>
      </rPr>
      <t>Óxido nitroso (N2O):</t>
    </r>
  </si>
  <si>
    <t>Fuente: ACUERDO que establece los gases o compuestos de efecto invernadero que se agrupan para efectos de reporte de emisiones, así como sus potenciales de calentamiento. (DOF 14/08/2015) https://www.dof.gob.mx/nota_detalle.php?codigo=5404077&amp;fecha=14/08/2015#gsc.tab=0</t>
  </si>
  <si>
    <t>Proyecciones Población Municipal</t>
  </si>
  <si>
    <t>Tabla 1. Numero de Habitantes, INEGI 2020</t>
  </si>
  <si>
    <t>Municipio</t>
  </si>
  <si>
    <t>Número de Habitantes</t>
  </si>
  <si>
    <t>Aldama</t>
  </si>
  <si>
    <t>Aquiles Serdan</t>
  </si>
  <si>
    <t>Fuente: Censo Poblacional 2020</t>
  </si>
  <si>
    <t>Tabla 2. Proyección del Crecimiento Poblacional en la Zona de Estudio</t>
  </si>
  <si>
    <t>Tiempo</t>
  </si>
  <si>
    <t>Factor de crecimiento poblacional total CONAPO para el estado de Chihuahua</t>
  </si>
  <si>
    <t>Población Habitantes a mitad de año</t>
  </si>
  <si>
    <t>t</t>
  </si>
  <si>
    <t>Periodo
%</t>
  </si>
  <si>
    <t>Acumulado
%</t>
  </si>
  <si>
    <t>Aquiles Serdán</t>
  </si>
  <si>
    <t>Fuente: Elaboración propia con datos de la CONAPO, Proyecciones poblacionales al año 2070</t>
  </si>
  <si>
    <t>Tabla 3. Proyección del Crecimiento Poblacional en el Estado de Chihuahua</t>
  </si>
  <si>
    <t>Población</t>
  </si>
  <si>
    <t>Tasa de Crecimiento</t>
  </si>
  <si>
    <t>-</t>
  </si>
  <si>
    <t>Fuente: Proyecciones poblacionales al año 2070. CONAPO liga: https://www.gob.mx/conapo/documentos/bases-de-datos-de-la-conciliaciondemografica-1950-a-2019-y-proyecciones-de-la-poblacion-de-mexico-2020-a2070.</t>
  </si>
  <si>
    <t>Caracterización y Composición de Residuos</t>
  </si>
  <si>
    <t>Tabla 1. Caracterización de RSU y RME (año base: 2023/365 días)</t>
  </si>
  <si>
    <t>SUBPRODUCTO</t>
  </si>
  <si>
    <t>% Global sin RME específico</t>
  </si>
  <si>
    <t>Clase de Residuo</t>
  </si>
  <si>
    <t>Toneladas al dia sin RME específicos</t>
  </si>
  <si>
    <t>RME especificos</t>
  </si>
  <si>
    <t xml:space="preserve">Toneladas totales </t>
  </si>
  <si>
    <t>%Global con RME especifico</t>
  </si>
  <si>
    <t>Residuos Alimenticios</t>
  </si>
  <si>
    <t>Orgánico</t>
  </si>
  <si>
    <t>Residuos alimenticios</t>
  </si>
  <si>
    <t>Residuos de jardinería</t>
  </si>
  <si>
    <t>Hueso</t>
  </si>
  <si>
    <t>Otros</t>
  </si>
  <si>
    <t>Fibra dura vegetal</t>
  </si>
  <si>
    <t>Inorg. Recuperable</t>
  </si>
  <si>
    <t>Papel y Cartón</t>
  </si>
  <si>
    <t>Cartón</t>
  </si>
  <si>
    <t>Envase de cartón encerado</t>
  </si>
  <si>
    <t>Tetrapack</t>
  </si>
  <si>
    <t>Plástico rígido</t>
  </si>
  <si>
    <t>Plástico</t>
  </si>
  <si>
    <t>Plástico ligero</t>
  </si>
  <si>
    <t>PET</t>
  </si>
  <si>
    <t>Vidrio de color</t>
  </si>
  <si>
    <t>Vidrio</t>
  </si>
  <si>
    <t>Vidrio trasparente</t>
  </si>
  <si>
    <t>Lata</t>
  </si>
  <si>
    <t>Metales</t>
  </si>
  <si>
    <t>Material ferroso</t>
  </si>
  <si>
    <t>Material no-ferroso</t>
  </si>
  <si>
    <t>Papel aluminio</t>
  </si>
  <si>
    <t>Textiles de algodón</t>
  </si>
  <si>
    <t>Inorg. No Recup.</t>
  </si>
  <si>
    <t>Textiles sintéticos</t>
  </si>
  <si>
    <t>Trapos (jerga, franela, etc.)</t>
  </si>
  <si>
    <t>Residuo fino que pase la criba M 200</t>
  </si>
  <si>
    <t>Pañal desechable</t>
  </si>
  <si>
    <t>Madera</t>
  </si>
  <si>
    <t>Papel sanitario</t>
  </si>
  <si>
    <t>Plástico no identificado</t>
  </si>
  <si>
    <t>Poliestireno expandido</t>
  </si>
  <si>
    <t>Envoltura metalizada</t>
  </si>
  <si>
    <t>Cuero</t>
  </si>
  <si>
    <t>Material de construcción</t>
  </si>
  <si>
    <t>Loza y cerámica</t>
  </si>
  <si>
    <t>Poliuretano</t>
  </si>
  <si>
    <t>Hule</t>
  </si>
  <si>
    <t xml:space="preserve">Otros </t>
  </si>
  <si>
    <t>Residuos Peligrosos</t>
  </si>
  <si>
    <t>Peligrosos</t>
  </si>
  <si>
    <t>Total General</t>
  </si>
  <si>
    <t>Fuente: Estudio Diagnóstico, Generación y Composición de los Residuos (2023) para el Proyecto Integral de Residuos para el municipio de Chihuahua</t>
  </si>
  <si>
    <t xml:space="preserve"> Tabla 2. Índice de Generación Per Cápita (Año Base 2023)</t>
  </si>
  <si>
    <t>kg/hab/día(365)</t>
  </si>
  <si>
    <t>Ton/día</t>
  </si>
  <si>
    <t>Ton/año</t>
  </si>
  <si>
    <t>No Domésticos similares a Domésticos</t>
  </si>
  <si>
    <t>Llantas</t>
  </si>
  <si>
    <t>Escombros</t>
  </si>
  <si>
    <t xml:space="preserve">Orgánicos </t>
  </si>
  <si>
    <t>Inorgánicos</t>
  </si>
  <si>
    <t>Fuente: Elaboración Propia con información con base en Estudio de Taras y Pesajes y con las Proyecciones de CONAPO.</t>
  </si>
  <si>
    <t>Tabla 3. Residuos Totales</t>
  </si>
  <si>
    <t>Porcentaje</t>
  </si>
  <si>
    <t>Inorgánico no Recuperable</t>
  </si>
  <si>
    <t>Inorgánico Recuperable</t>
  </si>
  <si>
    <t>Tabla 4. Inorgánicos Recuperables</t>
  </si>
  <si>
    <t>Fuente: Balance de Masa, Estudio Diagnóstico, Generación y Composición de los Residuos (2023) para el Proyecto Integral de Residuos para el municipio de Chihuahua</t>
  </si>
  <si>
    <t>Tabla 6. Residuos de Manejo Especial Específicos que van directo a Relleno Sanitario</t>
  </si>
  <si>
    <t>Residuos</t>
  </si>
  <si>
    <t>Residuos peligrosos neutralizados</t>
  </si>
  <si>
    <t>Tabla 7. Volumen Generado de RSU + RME</t>
  </si>
  <si>
    <t>Categoría</t>
  </si>
  <si>
    <t>Confinable a RS (directo)</t>
  </si>
  <si>
    <t>Residuo que va a Planta de Separación</t>
  </si>
  <si>
    <r>
      <rPr>
        <b/>
        <sz val="9"/>
        <color rgb="FF000000"/>
        <rFont val="Arial"/>
        <charset val="134"/>
      </rPr>
      <t>Valorizable:</t>
    </r>
    <r>
      <rPr>
        <sz val="9"/>
        <color rgb="FF000000"/>
        <rFont val="Arial"/>
        <charset val="134"/>
      </rPr>
      <t xml:space="preserve"> se refiere a lo Reciclable menos el rechazo 
</t>
    </r>
  </si>
  <si>
    <r>
      <rPr>
        <b/>
        <sz val="10"/>
        <color theme="1"/>
        <rFont val="Calibri"/>
        <charset val="134"/>
        <scheme val="minor"/>
      </rPr>
      <t>Confinable a RS</t>
    </r>
    <r>
      <rPr>
        <sz val="10"/>
        <color theme="1"/>
        <rFont val="Calibri"/>
        <charset val="134"/>
        <scheme val="minor"/>
      </rPr>
      <t>: los RME específicos que quedan fuera (hule, residuos peligrosos y material de construcción)</t>
    </r>
  </si>
  <si>
    <r>
      <rPr>
        <b/>
        <sz val="10"/>
        <color theme="1"/>
        <rFont val="Calibri"/>
        <charset val="134"/>
        <scheme val="minor"/>
      </rPr>
      <t>Tratamiento biológico</t>
    </r>
    <r>
      <rPr>
        <sz val="10"/>
        <color theme="1"/>
        <rFont val="Calibri"/>
        <charset val="134"/>
        <scheme val="minor"/>
      </rPr>
      <t>: se refiere a los residuos orgánicos e inorgánicos que son susceptibles de proceso biológico (reactor)</t>
    </r>
  </si>
  <si>
    <t>Gráfico 1. Flujo Másico de RSU</t>
  </si>
  <si>
    <t>Tabla 8. Balance de Masa de los Residuos que pasan por la Planta de Separación</t>
  </si>
  <si>
    <t>Factor de Rechazo</t>
  </si>
  <si>
    <t>Factor de Eficiencia</t>
  </si>
  <si>
    <t>Residuo Valorizable (ton/día)</t>
  </si>
  <si>
    <t>% de Valorizable Global o Factor de conversión Global</t>
  </si>
  <si>
    <t>Total de Residuos</t>
  </si>
  <si>
    <t>Confinable Directo a Relleno Sanitario</t>
  </si>
  <si>
    <t>Valorizable</t>
  </si>
  <si>
    <t>CDR</t>
  </si>
  <si>
    <t>CDR verde</t>
  </si>
  <si>
    <t>CDR Plástico</t>
  </si>
  <si>
    <t>Pérdida de Agua y Co2</t>
  </si>
  <si>
    <t>Rechazo CDR</t>
  </si>
  <si>
    <t xml:space="preserve">Rechazo Fino </t>
  </si>
  <si>
    <t>Rechazo Grueso</t>
  </si>
  <si>
    <t>Nota: Los porcentajes son especificaciones de la Tecnología y que se especifican en los estudios técnicos.</t>
  </si>
  <si>
    <t>Nota 2: Los calculos detallados incluyen pérdida de masa por digestión y pérdida de humedad. Estos pueden ser vistos en el Balance de Masa incluido en el estudio Diagnóstico.</t>
  </si>
  <si>
    <t>Nota 3: El Factor de Eficiencia, o conversión, para los Residuos Reciclados corresponde al porcentaje de residuos después de restar la cantidad rechazada en el proceso de valorización; el Factor de Conversión para los CDR y los rechazos dentro del proceso de CDR (finos y gruesos) se obtienen de los datos estadísticos del proveedor de esta tecnología considerando las pérdidas de humedad y CO2.</t>
  </si>
  <si>
    <t>Tabla 9. Volúmen Generado de RSU + RME Total</t>
  </si>
  <si>
    <t>Agua y CO2</t>
  </si>
  <si>
    <t>CDRs</t>
  </si>
  <si>
    <t>Confinable a RS</t>
  </si>
  <si>
    <t>Reciclable</t>
  </si>
  <si>
    <t>Proyección de la Población y Demanda en Situación Actual</t>
  </si>
  <si>
    <t>Tabla 1. Proyección de la Demanda en la Situación Actual</t>
  </si>
  <si>
    <t xml:space="preserve">Generación RSU </t>
  </si>
  <si>
    <t xml:space="preserve">Generación RME </t>
  </si>
  <si>
    <t>Generación RS = RSU + RME</t>
  </si>
  <si>
    <t>Ver Nota 1</t>
  </si>
  <si>
    <t>Periodo</t>
  </si>
  <si>
    <t>Acumulado</t>
  </si>
  <si>
    <t>Producción
Per Cápita RSU
(k/hab.día)</t>
  </si>
  <si>
    <t>Masa RSU 
(T/día)</t>
  </si>
  <si>
    <t>Masa RSU 
(T/día hábil)</t>
  </si>
  <si>
    <t>Masa RSU (T/año)</t>
  </si>
  <si>
    <t>Producción
Per Cápita RME
(k/hab.día)</t>
  </si>
  <si>
    <t>Masa RME 
(T/día)</t>
  </si>
  <si>
    <t>Masa RME 
(T/día hábil)</t>
  </si>
  <si>
    <t>Masa RME (T/año)</t>
  </si>
  <si>
    <t>Producción
Per Cápita RS
(k/hab.día)</t>
  </si>
  <si>
    <t>Masa RS
(T/día)</t>
  </si>
  <si>
    <t>Masa RS 
(T/día hábil)</t>
  </si>
  <si>
    <t>Masa RS (T/año)</t>
  </si>
  <si>
    <t>RSU (m3/año)</t>
  </si>
  <si>
    <t>RME (m3/año)</t>
  </si>
  <si>
    <t>Total (m3/año)</t>
  </si>
  <si>
    <t>Volumen Efectivo Confinado (m3/año)</t>
  </si>
  <si>
    <t>Fuente: Elaboración Propia</t>
  </si>
  <si>
    <t>Nota 1: Según se cita en la referencia “Landfill Manual” (Maccaferri SpA, Abril 2007) se recurre a un coeficiente adimensional de uso del relleno de 0.99 (Se acepta que coeficiente muy próximo a 1 es suficiente para tener en cuenta el manejo del relleno sanitario) 
Vef = Volumen de residuos depositados (m3/año) * Coeficiente eficiencia * Coeficiente capas intermedias 
Vef (m3/año) = V (m3/año) * ef * cp 
ef =Coeficiente de corrector de eficiencia en el vertido (ef = 1/ 0.99) 
cp = Proporción del volumen requerido para las capas intermedias de cubrición (cp = 1.2 – 1.25)
MANUAL DE ESPECIFICACIONES TÉCNICAS PARA LA CONSTRUCCIÓN DE RELLENOS SANITARIOS PARA RESIDUOS SÓLIDOS URBANOS (RSU) Y RESIDUOS DE MANEJO ESPECIAL (RME) – SEMARNAT- CONTRATO DGRMIS-DAC-DGFAUT- No. 018/2009 Pag. 66</t>
  </si>
  <si>
    <t>Interacción Oferta - Demanda</t>
  </si>
  <si>
    <t>Tabla 2. Interacción Oferta -  Demanda Disposición Final</t>
  </si>
  <si>
    <t>Oferta (m3/año)</t>
  </si>
  <si>
    <t>Demanda de RS (m3/año)</t>
  </si>
  <si>
    <t>Demanda Efectiva para Confinamiento (m3/año)</t>
  </si>
  <si>
    <t>Interacción (m3/año)</t>
  </si>
  <si>
    <t>Déficit Acumulado (m3)</t>
  </si>
  <si>
    <t>Situación Actual Recolección</t>
  </si>
  <si>
    <t>Tabla 3. Demanda, Oferta e Interacción de la Recolección</t>
  </si>
  <si>
    <t>Demanda de Recolección (ton/año)</t>
  </si>
  <si>
    <t>Oferta Anual Ton/año</t>
  </si>
  <si>
    <t>Interacción Oferta Demanda (Anual)</t>
  </si>
  <si>
    <t>Demanda de Recolección (ton/día)</t>
  </si>
  <si>
    <t>Oferta Anual Ton/día</t>
  </si>
  <si>
    <t>Interacción Oferta Demanda (Diaria)</t>
  </si>
  <si>
    <t>% Cobertura</t>
  </si>
  <si>
    <t>*Para más detalle, ver pestana III.1 Recolección</t>
  </si>
  <si>
    <t>Adquisición de 10 unidades Municipales</t>
  </si>
  <si>
    <t>Recolección Situación Actual</t>
  </si>
  <si>
    <t>Tabla 1. Unidades de Recolección Concesionadas</t>
  </si>
  <si>
    <t xml:space="preserve">Carga promedio por camión </t>
  </si>
  <si>
    <t>Ton/viaje</t>
  </si>
  <si>
    <t>Unidades</t>
  </si>
  <si>
    <t>Viajes por día</t>
  </si>
  <si>
    <t>Viaje/Día</t>
  </si>
  <si>
    <t>Relación</t>
  </si>
  <si>
    <t>Viaje/Unidad</t>
  </si>
  <si>
    <t>Toneladas promedio</t>
  </si>
  <si>
    <t>Ton/Día</t>
  </si>
  <si>
    <t>Fuente: Municipio de Chihuahua</t>
  </si>
  <si>
    <t>Tabla 2. Unidades de Recolección Municipales</t>
  </si>
  <si>
    <t>Viaje/Unidad/Día</t>
  </si>
  <si>
    <t>Nota: Aunque el Municipio cuenta con 48 Unidades para la recolección, debido al mal estado de algunas unidades, en promedio al año, solo se pueden hacer en promedio 40 viajes por día.</t>
  </si>
  <si>
    <t>Tabla 3. Días Promedio de Recolección</t>
  </si>
  <si>
    <t>Días del Año</t>
  </si>
  <si>
    <t>Días Que no se Recolecta</t>
  </si>
  <si>
    <t>Domingos</t>
  </si>
  <si>
    <t>Navidad y Año Nuevo</t>
  </si>
  <si>
    <t>Semana Santa</t>
  </si>
  <si>
    <t>Días de Recolección</t>
  </si>
  <si>
    <t>Tabla 4. Oferta Actual (ton/año)</t>
  </si>
  <si>
    <t>Cobertura</t>
  </si>
  <si>
    <t>Toneladas Totales (Oferta Actual)</t>
  </si>
  <si>
    <t>Recolección Situación Optimizada</t>
  </si>
  <si>
    <t>Tabla 5. Unidades de Recolección Concesionadas (optimización)</t>
  </si>
  <si>
    <t>Tabla 6. Unidades de Recolección Municipales (optimización)</t>
  </si>
  <si>
    <t>Y hasta 55 viajes según vaya incrementando la demanda</t>
  </si>
  <si>
    <t>Nota: Dado que se adquirieron 10 Unidades de Recolección, el número de viajes por día se incrementa hasta 55 viajes</t>
  </si>
  <si>
    <t>Tabla 7. Oferta Actual Optimizada (ton/año)</t>
  </si>
  <si>
    <t>CAPEX y OPEX de la Optimización</t>
  </si>
  <si>
    <t>Tabla 8. Costo Total de Adquisición de las Unidades de Recolección</t>
  </si>
  <si>
    <t>Precio Unitario</t>
  </si>
  <si>
    <t>Costo Total</t>
  </si>
  <si>
    <t>Costo con IVA</t>
  </si>
  <si>
    <t>Unidad de Recolección</t>
  </si>
  <si>
    <t>Fuente: Estudio Diagnótico.</t>
  </si>
  <si>
    <t>Tabla 9. Costo de Operación de las Nuevas Unidades de Recolección</t>
  </si>
  <si>
    <t>Costo sin IVA</t>
  </si>
  <si>
    <t>Llantas (cambio de total de llantas al año)</t>
  </si>
  <si>
    <t>Mantenimiento</t>
  </si>
  <si>
    <t>Correctivo</t>
  </si>
  <si>
    <t>Preventivo (3 servicios al año)</t>
  </si>
  <si>
    <t>Póliza de Seguro</t>
  </si>
  <si>
    <t>Tabla 10. Calendario de las Optimizaciones</t>
  </si>
  <si>
    <t>Concepto/Mes</t>
  </si>
  <si>
    <t>Adquisición de 10 Unidades</t>
  </si>
  <si>
    <t xml:space="preserve">Operación </t>
  </si>
  <si>
    <t>Situación Sin Proyecto</t>
  </si>
  <si>
    <t>Oferta</t>
  </si>
  <si>
    <t>Tabla 1. Oferta Disposición Final</t>
  </si>
  <si>
    <t>Total (ton/día)</t>
  </si>
  <si>
    <t>Demanda</t>
  </si>
  <si>
    <t>Tabla 3. Proyección de Generación de Residuos</t>
  </si>
  <si>
    <t>No</t>
  </si>
  <si>
    <t>RSU (ton/día)</t>
  </si>
  <si>
    <t>RME (ton/día)</t>
  </si>
  <si>
    <t>RSU (ton/año)</t>
  </si>
  <si>
    <t>RME (ton/año)</t>
  </si>
  <si>
    <t>Total (ton/año)</t>
  </si>
  <si>
    <t>Tabla 5. Proyección de la Demanda de Disposición Final</t>
  </si>
  <si>
    <t>No.</t>
  </si>
  <si>
    <t>Tabla 6. Interacción Oferta -  Demanda Disposición Final</t>
  </si>
  <si>
    <t>Demanda (m3/año)</t>
  </si>
  <si>
    <t>Situación Sin Proyecto (La Situación Actual es el escenario optimizado)</t>
  </si>
  <si>
    <t>Costo Anual Equivalente del Proyecto</t>
  </si>
  <si>
    <t>Costos totales de inversión</t>
  </si>
  <si>
    <t>Costos de Operación y Mantenimiento</t>
  </si>
  <si>
    <t>Costos de Mantenimiento Mayor</t>
  </si>
  <si>
    <t>Costos Totales por año</t>
  </si>
  <si>
    <t>Valor presente de los costos</t>
  </si>
  <si>
    <t xml:space="preserve">                             -  </t>
  </si>
  <si>
    <t>Tasa</t>
  </si>
  <si>
    <t>Valor Presente</t>
  </si>
  <si>
    <t>Vida Util</t>
  </si>
  <si>
    <t>CAE</t>
  </si>
  <si>
    <t>Costo Anual Equivalente de la Alternativa</t>
  </si>
  <si>
    <t>Costos de Inversión de la Alternativa</t>
  </si>
  <si>
    <t>Tabla 6. Biodigestor</t>
  </si>
  <si>
    <t>Tabla 2. Programa de Inversión Anual</t>
  </si>
  <si>
    <t>P.U.</t>
  </si>
  <si>
    <t>Monto sin IVA</t>
  </si>
  <si>
    <t>Ampliación del RA</t>
  </si>
  <si>
    <t>Estación de Transferencia</t>
  </si>
  <si>
    <t>Planta de Separación</t>
  </si>
  <si>
    <t>NRSM</t>
  </si>
  <si>
    <t>Clausura</t>
  </si>
  <si>
    <t>Biodigestor</t>
  </si>
  <si>
    <t>Edificación y Obra Civil</t>
  </si>
  <si>
    <t>lote</t>
  </si>
  <si>
    <t>Planta de Digestión</t>
  </si>
  <si>
    <t xml:space="preserve">Digestores </t>
  </si>
  <si>
    <t>Almacenamientos y mejora del Biogas</t>
  </si>
  <si>
    <t>Separación de Liquido</t>
  </si>
  <si>
    <t>Instalaciones</t>
  </si>
  <si>
    <t>Seguridad y Salud</t>
  </si>
  <si>
    <t>Control Calidad Obra</t>
  </si>
  <si>
    <t>Equipo de Monitoreo Ambiental</t>
  </si>
  <si>
    <t>Fuente: Estudio Diagnóstico y Propuesta económica de proveedor</t>
  </si>
  <si>
    <t>Costos de Operación y Mantenimiento de la Alternativa 2</t>
  </si>
  <si>
    <t>Tabla 1. Gastos de Operación y Mantenimiento del Nuevo Relleno Sanitario</t>
  </si>
  <si>
    <t>Tabla 6. Resumen de Gastos de Operación del NRS</t>
  </si>
  <si>
    <t>Tabla 10. Proyecto de los Costos de Operación y Mantenimiento</t>
  </si>
  <si>
    <t>Importe mensual</t>
  </si>
  <si>
    <t>Mensual sin IVA</t>
  </si>
  <si>
    <t>Anual sin IVA</t>
  </si>
  <si>
    <t>Ampliación</t>
  </si>
  <si>
    <t>Nuevo Relleno Sanitario</t>
  </si>
  <si>
    <t>Clausura del Relleno Sanitario Actual</t>
  </si>
  <si>
    <t>Personal Operativo</t>
  </si>
  <si>
    <t>Personal</t>
  </si>
  <si>
    <t>Fijos</t>
  </si>
  <si>
    <t>Variables</t>
  </si>
  <si>
    <t>Gerente de planta</t>
  </si>
  <si>
    <t>persona</t>
  </si>
  <si>
    <t>Gastos de oficina</t>
  </si>
  <si>
    <t>Jefe de operaciones del relleno sanitario</t>
  </si>
  <si>
    <t>Energía eléctrica Parte Fija</t>
  </si>
  <si>
    <t>Supervisor de operaciones</t>
  </si>
  <si>
    <t>Laboratorio externo (Monitoreo)</t>
  </si>
  <si>
    <t>Operadores de maquinaria Amarilla</t>
  </si>
  <si>
    <t>Renta de Maquinaria y Equipo</t>
  </si>
  <si>
    <t>Operador de camión de volteo 14 m3</t>
  </si>
  <si>
    <t>Combustibles y lubricantes (variable)</t>
  </si>
  <si>
    <t>Supervisor de mantenimiento</t>
  </si>
  <si>
    <t>Refacciones (variable)</t>
  </si>
  <si>
    <t>Mecánico</t>
  </si>
  <si>
    <t>Ayudante de mecánico</t>
  </si>
  <si>
    <t>Jefe de seguridad y salud ocupacional</t>
  </si>
  <si>
    <t>Jefe de calidad y medio ambiente</t>
  </si>
  <si>
    <t>Subtotal de Personal Operativo</t>
  </si>
  <si>
    <t>Tabla 7. Resumen de Gastos de Operación de la ET</t>
  </si>
  <si>
    <t>Personal Administrativo</t>
  </si>
  <si>
    <t>Jefe administrativo</t>
  </si>
  <si>
    <t>Auxiliar administrativo</t>
  </si>
  <si>
    <t>Auxiliar informático</t>
  </si>
  <si>
    <t>Auxiliar de almacén</t>
  </si>
  <si>
    <t>Vigilantes</t>
  </si>
  <si>
    <t>Arrendamiento de Equipo</t>
  </si>
  <si>
    <t>Veladores</t>
  </si>
  <si>
    <t>Costos de Transporte (variable)</t>
  </si>
  <si>
    <t>Basculista</t>
  </si>
  <si>
    <t>Energía electrica (variable)</t>
  </si>
  <si>
    <t>Auxiliar de compras</t>
  </si>
  <si>
    <t>Reactivos Químicos (Variable)</t>
  </si>
  <si>
    <t>Subtotal de Personal Administrativo</t>
  </si>
  <si>
    <t>Gastos de Oficina</t>
  </si>
  <si>
    <t>Energía eléctrica</t>
  </si>
  <si>
    <t>mes</t>
  </si>
  <si>
    <t>Servicios (Teléfono, internet)</t>
  </si>
  <si>
    <t>Tabla 8. Resumen de Gastos de Planta de Separación</t>
  </si>
  <si>
    <t>Licencias (Software)</t>
  </si>
  <si>
    <t>Subcontratos personal de limpieza (3 personas)</t>
  </si>
  <si>
    <t>Subcontratos fumigación y otros</t>
  </si>
  <si>
    <t>Artículos de limpieza</t>
  </si>
  <si>
    <t>Papelería y copias</t>
  </si>
  <si>
    <t>Subtotal de Gastos de Oficina</t>
  </si>
  <si>
    <t>Maquinaria y Equipo</t>
  </si>
  <si>
    <t>Energía Electrica Parte Fija</t>
  </si>
  <si>
    <t>Potencia Instalada</t>
  </si>
  <si>
    <t>Costo de Rechazo (variable)</t>
  </si>
  <si>
    <t>Potencia en operación</t>
  </si>
  <si>
    <t>Costo de Lixiviados (variable)</t>
  </si>
  <si>
    <t>Consumo</t>
  </si>
  <si>
    <t>Tarifa de EE en media tensión (HM)</t>
  </si>
  <si>
    <t>Tabla 9. Planta de Tratamiento de Biodigestor</t>
  </si>
  <si>
    <t>Otros costos (Base + DF; Dato de instalaciones similares)</t>
  </si>
  <si>
    <t>Total tarifa</t>
  </si>
  <si>
    <t>Operación y Mantenimiento</t>
  </si>
  <si>
    <t>Costo de energía eléctrica</t>
  </si>
  <si>
    <t>Subtotal Energía Eléctrica Parte Fija</t>
  </si>
  <si>
    <t xml:space="preserve">Laboratorio Externo </t>
  </si>
  <si>
    <t>Analisis de Laboratorio</t>
  </si>
  <si>
    <t>Subtotal de Analisis de Laboratorio</t>
  </si>
  <si>
    <t>Maquinaria y Renta de Equipo</t>
  </si>
  <si>
    <t>Tractor D7R adaptado para basura</t>
  </si>
  <si>
    <t>Compactador 815</t>
  </si>
  <si>
    <t>Cargador 953 K</t>
  </si>
  <si>
    <t>Retroexcavadora Cat516</t>
  </si>
  <si>
    <t>Subtotal de Renta de Maquinaria y Equipo</t>
  </si>
  <si>
    <t>Costos de Operación (varible)</t>
  </si>
  <si>
    <t>Diesel</t>
  </si>
  <si>
    <t>lto.</t>
  </si>
  <si>
    <t>Compactador 815F</t>
  </si>
  <si>
    <t>Cargador 953K</t>
  </si>
  <si>
    <t xml:space="preserve">Camión volteo 14 m3 </t>
  </si>
  <si>
    <t xml:space="preserve">Camión pipa 20 m3 </t>
  </si>
  <si>
    <t>Lubricantes</t>
  </si>
  <si>
    <t>Subtotal de Diesel</t>
  </si>
  <si>
    <t>Refacciones</t>
  </si>
  <si>
    <t>Subtotal de Refacciones</t>
  </si>
  <si>
    <t>Costo por Tonelada</t>
  </si>
  <si>
    <t>Fracción Separada del RS</t>
  </si>
  <si>
    <t>Tabla 2. Gastos de Operación y Mantenimiento de la Estación de Transferencia</t>
  </si>
  <si>
    <t>Importe Mensual</t>
  </si>
  <si>
    <t>Jefe de operaciones</t>
  </si>
  <si>
    <t>Supervisor</t>
  </si>
  <si>
    <t>Electromecánico</t>
  </si>
  <si>
    <t>Ayudante de electromecánico</t>
  </si>
  <si>
    <t>Operadores</t>
  </si>
  <si>
    <t>Velador</t>
  </si>
  <si>
    <t>Subcontratos personal de limpieza (2 personas)</t>
  </si>
  <si>
    <t xml:space="preserve">Consumo parte fija </t>
  </si>
  <si>
    <t>Subtotal de Energía Electrica Parte Fija</t>
  </si>
  <si>
    <t>Laboratorio Externo (Descarga de aguas residuales)</t>
  </si>
  <si>
    <t>Análisis de Laboratorio</t>
  </si>
  <si>
    <t>Subtotal Análisis de Laboratorio</t>
  </si>
  <si>
    <t>Costo Variable</t>
  </si>
  <si>
    <t>Costos de Transporte EQUIPO PROPIO de ET a NRS</t>
  </si>
  <si>
    <t>Personal (Chofer de tracto)</t>
  </si>
  <si>
    <t>Combustible Diesel</t>
  </si>
  <si>
    <t>l</t>
  </si>
  <si>
    <t>Mantenimiento y refacciones</t>
  </si>
  <si>
    <t>km</t>
  </si>
  <si>
    <t>Total Anual (costo variable)</t>
  </si>
  <si>
    <t>Total Mensual (costo variable)</t>
  </si>
  <si>
    <t>Energía Electrica (variable)</t>
  </si>
  <si>
    <t>Capacidad nominal de compactación</t>
  </si>
  <si>
    <t>Número de horas de compactación (Base 365d)</t>
  </si>
  <si>
    <t>h/mes</t>
  </si>
  <si>
    <t>Subtotal Energía Electrica Variable</t>
  </si>
  <si>
    <t>Reactivos químicos PTAR</t>
  </si>
  <si>
    <t>Reactivos Químicos</t>
  </si>
  <si>
    <t>m3</t>
  </si>
  <si>
    <t>Subtotal Reactivos Químicos</t>
  </si>
  <si>
    <t>Costo Por Tonelada</t>
  </si>
  <si>
    <t>Fuente: Estudio Técnico</t>
  </si>
  <si>
    <t>Tabla 3. Gastos de Operación y Mantenimiento de la Planta de Separación</t>
  </si>
  <si>
    <t xml:space="preserve">Personal </t>
  </si>
  <si>
    <t>Gerente de Planta</t>
  </si>
  <si>
    <t>Superintendente</t>
  </si>
  <si>
    <t>Encargados de mantenimiento</t>
  </si>
  <si>
    <t>Gerente administrativo</t>
  </si>
  <si>
    <t>Administrativos</t>
  </si>
  <si>
    <t>Subtotal de Personal</t>
  </si>
  <si>
    <t>Subtotal Energía Electrica parte fija</t>
  </si>
  <si>
    <t>Mantenimiento y refacciones de equipos  (2% anual)</t>
  </si>
  <si>
    <t xml:space="preserve">Consumibles taller y otros </t>
  </si>
  <si>
    <t xml:space="preserve">Combustibles y lubricantes vehículos </t>
  </si>
  <si>
    <t>vehículo</t>
  </si>
  <si>
    <t>Reposición de equipos menores (10 años)</t>
  </si>
  <si>
    <t>Subtotal de Maquinaria y Equipo</t>
  </si>
  <si>
    <t>Energía Electrica</t>
  </si>
  <si>
    <t>Costo de Rechazo</t>
  </si>
  <si>
    <t>Cantidad de RSU + RME</t>
  </si>
  <si>
    <t>ton/año</t>
  </si>
  <si>
    <t>Rechazos a SDF</t>
  </si>
  <si>
    <t>ton/mes</t>
  </si>
  <si>
    <t xml:space="preserve">Costo de disposición final </t>
  </si>
  <si>
    <t>$/ton</t>
  </si>
  <si>
    <t>Subtotal de Costo de Rechazo</t>
  </si>
  <si>
    <t>Costo de Lixiviados</t>
  </si>
  <si>
    <t>Flujo masico de RSU</t>
  </si>
  <si>
    <t>t/año</t>
  </si>
  <si>
    <t>Generación de Lixiviado</t>
  </si>
  <si>
    <t>t/día prom</t>
  </si>
  <si>
    <t>l/ton</t>
  </si>
  <si>
    <t>l/día</t>
  </si>
  <si>
    <t>m3/mes</t>
  </si>
  <si>
    <t>Costo por disposición</t>
  </si>
  <si>
    <t>$/m3</t>
  </si>
  <si>
    <t>Subtotal de Costo de Lixiviado</t>
  </si>
  <si>
    <t>Tabla 4. Costos de Operación y Mantenimiento del Relleno Sanitario Clausurado</t>
  </si>
  <si>
    <t>Monitoreos (Biogás, lixiviados, acuíferos, etc.)</t>
  </si>
  <si>
    <t>Mantenimiento taludes</t>
  </si>
  <si>
    <t>Mantenimiento de canales pluviales</t>
  </si>
  <si>
    <t>Total mensual</t>
  </si>
  <si>
    <t>Total anual</t>
  </si>
  <si>
    <t>Tabla 5. Costos de Operación y Mantenimiento del Biodigestor</t>
  </si>
  <si>
    <t>Subtotal de Mantenimiento</t>
  </si>
  <si>
    <t>Subtotal de Peronal</t>
  </si>
  <si>
    <t>Subtotal de Energía Electrica</t>
  </si>
  <si>
    <t>Situación con Proyecto</t>
  </si>
  <si>
    <t>Tabla 1.1 Oferta-Demanda de Recolección</t>
  </si>
  <si>
    <t>Demanda de Recolección (Generacion RS (ton/año))</t>
  </si>
  <si>
    <t>Oferta de Recolección
(Ton/año)</t>
  </si>
  <si>
    <t>Interacción de O-D
(Ton/año)</t>
  </si>
  <si>
    <t>Tabla 1.2 Demanda de Disposición Final (Relleno Sanitario + CDR)</t>
  </si>
  <si>
    <t>Generacion RS (ton/año)</t>
  </si>
  <si>
    <t>Valorizable (ton/año)</t>
  </si>
  <si>
    <t>Demanda de procesamiento CDR (ton/año)</t>
  </si>
  <si>
    <t>Demanda de Disposición Final en Relleno Sanitario (ton/año)</t>
  </si>
  <si>
    <t>Disposición Final (Relleno Sanitario + CDR) =&gt; Oferta - Demanda</t>
  </si>
  <si>
    <t>Tabla 2. Volumenes de Celdas</t>
  </si>
  <si>
    <t>Celda</t>
  </si>
  <si>
    <t>Año de Entrada en operación</t>
  </si>
  <si>
    <t>AREA DE LA CELDA A NIVEL DE TERRENO NATURAL SB (NTN) M2</t>
  </si>
  <si>
    <t>AREA DEL FONDO DE LA CELDA (FONDO) M2</t>
  </si>
  <si>
    <t>AREA DE LA CELDA A NIVEL CUBIERTA SC (CUBIERTA) M2</t>
  </si>
  <si>
    <t>Volumen BAJO Nivel (M3). Formula del volumen en una pirámide truncada</t>
  </si>
  <si>
    <t>1A</t>
  </si>
  <si>
    <t>1B</t>
  </si>
  <si>
    <t>1C</t>
  </si>
  <si>
    <t>EMERG</t>
  </si>
  <si>
    <t>Nota: Profundidad de excavación</t>
  </si>
  <si>
    <t>he</t>
  </si>
  <si>
    <t>m</t>
  </si>
  <si>
    <t>Fuente: Estudio Diagnóstico, proyecto del NRSM elaborado por la Obras Públicas y el DGSPM</t>
  </si>
  <si>
    <t>Tabla 3. Proyección Oferta Demanda del Nuevo Relleno Sanitario</t>
  </si>
  <si>
    <t>DEMANDA EFECTIVA EN NRSM</t>
  </si>
  <si>
    <t>DEMANDA</t>
  </si>
  <si>
    <t>OFERTA</t>
  </si>
  <si>
    <t>INTERACCION O-D</t>
  </si>
  <si>
    <t xml:space="preserve"> Masa RS
(T/día)</t>
  </si>
  <si>
    <t xml:space="preserve"> Masa RS
(T/año)</t>
  </si>
  <si>
    <t>Vol. RS sin compactar
(M3/día)</t>
  </si>
  <si>
    <t>Vol. RS COMPACTO
(M3/día)</t>
  </si>
  <si>
    <t>Vol. RS COMPACTO Inc. Coef. Ef. Vertido
(M3/día)</t>
  </si>
  <si>
    <t>Volumen de material de cobertura compacto (M3/día)</t>
  </si>
  <si>
    <t>Volumen utilizado (M3/día)</t>
  </si>
  <si>
    <t>Volumen efectivo (M3/año)</t>
  </si>
  <si>
    <t>Volumen efectivo 
(M3 Acumulado)</t>
  </si>
  <si>
    <t>OFERTA - Capacidad de Celdas utilizado (M3 Acumulado)</t>
  </si>
  <si>
    <t>CELDAS</t>
  </si>
  <si>
    <t>Interacciòn</t>
  </si>
  <si>
    <t>CELDA 1A</t>
  </si>
  <si>
    <t>CELDA 1</t>
  </si>
  <si>
    <t>CELDA 1B</t>
  </si>
  <si>
    <t>CELDA 1C</t>
  </si>
  <si>
    <t>CELDA 2</t>
  </si>
  <si>
    <t>CELDA EMERG</t>
  </si>
  <si>
    <t>ESTACIÓN DE TRANSFERENCIA</t>
  </si>
  <si>
    <t>Tabla 1.Capacidad de Compactación Requerida</t>
  </si>
  <si>
    <t>AÑO</t>
  </si>
  <si>
    <t>POBLACIÓN Habitantes</t>
  </si>
  <si>
    <t>GENERACIÓN RSU (NO INCLUYE RME)</t>
  </si>
  <si>
    <t>CAPACIDAD DIARIA</t>
  </si>
  <si>
    <t>UNIDADES TEORICAS REQUERIDAS</t>
  </si>
  <si>
    <t>CAPACIDAD TEORICA DE COMPACTACION REQUERIDA</t>
  </si>
  <si>
    <t>kg/hab.dia</t>
  </si>
  <si>
    <t>t/d base 365 d/año</t>
  </si>
  <si>
    <t>t/d base 312 d/año</t>
  </si>
  <si>
    <t>Camion recolector ton</t>
  </si>
  <si>
    <t>Tracto + Transfer ton</t>
  </si>
  <si>
    <t>Camion recolector</t>
  </si>
  <si>
    <t>Tracto + Transfer</t>
  </si>
  <si>
    <t># de líneas</t>
  </si>
  <si>
    <t># de horas de trabajo por línea / día</t>
  </si>
  <si>
    <t>Capacidad por línea t/h</t>
  </si>
  <si>
    <t>Transferencia</t>
  </si>
  <si>
    <t>Transferencia Con Proyecto</t>
  </si>
  <si>
    <t>Tabla 2.Capacidad de Transferencia</t>
  </si>
  <si>
    <t>Tabla 3.Proyección de Oferta - Demanda de la ET</t>
  </si>
  <si>
    <t>Capacidad de transferencia por unidad (ton)</t>
  </si>
  <si>
    <t>Viajes al día x unidad</t>
  </si>
  <si>
    <t>Capacidad de transferencia diaria (ton)</t>
  </si>
  <si>
    <t>Oferta de transferencia (ton/año)</t>
  </si>
  <si>
    <t>Demanda de transferencia (ton/año)</t>
  </si>
  <si>
    <t>Déficit o Superávit (ton/año)</t>
  </si>
  <si>
    <t>Etapa 1 (2026-2036)</t>
  </si>
  <si>
    <t>Etapa 2 (2037-2046)</t>
  </si>
  <si>
    <t>Etapa 2 (2047-2063)</t>
  </si>
  <si>
    <t>Planta CDR</t>
  </si>
  <si>
    <t>Tabla 4. Rendimiento Energético</t>
  </si>
  <si>
    <t>Rendimiento Energético del CDR (10-50 mm)</t>
  </si>
  <si>
    <t>MJ/kg</t>
  </si>
  <si>
    <t>Dato referencial</t>
  </si>
  <si>
    <t>GJ/ton</t>
  </si>
  <si>
    <t>MBTUs/Ton</t>
  </si>
  <si>
    <t>Fuente: Estudio Diagnótico</t>
  </si>
  <si>
    <t>Tabla 5. Proyección de la Capacidad de Procesamiento</t>
  </si>
  <si>
    <t>Demanda Masa RS
(T/año)</t>
  </si>
  <si>
    <t>Demanda Masa RS
(T/día)</t>
  </si>
  <si>
    <t>Oferta de Planta CDR (Ton/dia)</t>
  </si>
  <si>
    <t>Interaccion O-D (T/dia)</t>
  </si>
  <si>
    <t>Beneficios</t>
  </si>
  <si>
    <t>Tabla 1. Valorización de materiales reciclables</t>
  </si>
  <si>
    <t>Tabla 2. Porcentajes de material valorizable</t>
  </si>
  <si>
    <t>Materiales  Reciclables</t>
  </si>
  <si>
    <t>Precio por ton.</t>
  </si>
  <si>
    <t>% Reciclable</t>
  </si>
  <si>
    <t>% Realmente Valorizable</t>
  </si>
  <si>
    <t>Lata de aluminio</t>
  </si>
  <si>
    <t>Plástico mixto</t>
  </si>
  <si>
    <t>Tetrapak</t>
  </si>
  <si>
    <t>Fuente: Suprareciclaje</t>
  </si>
  <si>
    <t>Fuente: Elaboración  propia con datos del Estudio Diagnóstico de Chihuahua (2023)</t>
  </si>
  <si>
    <t>Tabla 3. Proyección de Ingresos por Reciclaje</t>
  </si>
  <si>
    <t>Generación de RS (Ton anual)</t>
  </si>
  <si>
    <t>Plástico película</t>
  </si>
  <si>
    <t>Valorización de CDR</t>
  </si>
  <si>
    <t>Tabla 4. Proyección de Ingresos por CDR</t>
  </si>
  <si>
    <t>Toneladas de Residuso Susceptibles a CDR</t>
  </si>
  <si>
    <t>Toneladas generadas de CDR 
VERDE</t>
  </si>
  <si>
    <t>Toneladas generadas de CDR PLASTICO</t>
  </si>
  <si>
    <t>Valorización CDR VERDE</t>
  </si>
  <si>
    <t>Valorización CDR PLASTICO</t>
  </si>
  <si>
    <t>Total Valorización CDR</t>
  </si>
  <si>
    <t>Ahorros en Costos de Transportación a NSRM</t>
  </si>
  <si>
    <t>Tabla 5. Proyección del Ahorro en Transporte</t>
  </si>
  <si>
    <t>Ahorros en Diesel (lts/año)</t>
  </si>
  <si>
    <t>Valorización Ahorros en Diesel ($)</t>
  </si>
  <si>
    <t>Otros ahorros en Costos de Operación ($)</t>
  </si>
  <si>
    <t>Total de Ahorros en OPEX Transporte ($)</t>
  </si>
  <si>
    <t>Tabla 6. Costo Anual de Operación</t>
  </si>
  <si>
    <t>Tabla 7. Ahorro en Combustible</t>
  </si>
  <si>
    <t>Tabla 7.1 Valores Diagnósticos y Estimaciones</t>
  </si>
  <si>
    <t>Sin Estación de Transferencia</t>
  </si>
  <si>
    <t>Con Estación de Transferencia</t>
  </si>
  <si>
    <t>Ahorro anual en distancia recorrida (km/año)</t>
  </si>
  <si>
    <t>km/año</t>
  </si>
  <si>
    <t>CONCEPTO</t>
  </si>
  <si>
    <t>SIN ET</t>
  </si>
  <si>
    <t>CON ET</t>
  </si>
  <si>
    <t>Traslado en Camiones Colectores</t>
  </si>
  <si>
    <t>Ahorro de diesel (lt/año)</t>
  </si>
  <si>
    <t>lto/año</t>
  </si>
  <si>
    <t>Numero de toneladas transportadas por año</t>
  </si>
  <si>
    <t>Traslado en Tractores con Caja Transfer</t>
  </si>
  <si>
    <t>Rendimiento diesel</t>
  </si>
  <si>
    <t>km/l</t>
  </si>
  <si>
    <t xml:space="preserve">Camión recolector </t>
  </si>
  <si>
    <t>Precio Promedio Diesel ($/lt)</t>
  </si>
  <si>
    <t xml:space="preserve">Promedio </t>
  </si>
  <si>
    <t>Camión transfer</t>
  </si>
  <si>
    <t>Ahorro en Costos de Trasnporte por año</t>
  </si>
  <si>
    <t>Numero de viajes realizados por año</t>
  </si>
  <si>
    <t>viajes</t>
  </si>
  <si>
    <t>Numero de km recorridos por año</t>
  </si>
  <si>
    <t>$ Costos de mantenimiento y refacciones por año</t>
  </si>
  <si>
    <t>$</t>
  </si>
  <si>
    <t>Numero hrs de recorrido por año</t>
  </si>
  <si>
    <t>Numero hrs hombre por año</t>
  </si>
  <si>
    <t>$ Costo de personal por año</t>
  </si>
  <si>
    <t>Consumo de combustible Diesel por año</t>
  </si>
  <si>
    <t>$ Consumo de combustible Diesel por año</t>
  </si>
  <si>
    <t>Emisiones de CO2e evitadas</t>
  </si>
  <si>
    <t>Tabla 8. Proyección del Ahorro en Transporte</t>
  </si>
  <si>
    <t>Emisiones de CO2 evitadas en Transporte 
(anuales)</t>
  </si>
  <si>
    <t>Valorización ($ pesos)</t>
  </si>
  <si>
    <t>Factor de Equivalencia de kg de CO2 por litro de Diesel</t>
  </si>
  <si>
    <t>Fuente: Environmental Protection Agency (EPA), “Greenhouse Gas (GHG) Emission Factors Hub” actualizado a enero 2024</t>
  </si>
  <si>
    <t>Metodología para el Cálculo de Emisiones de Gases De Efecto Invernadero Generado por Residuos Sólidos</t>
  </si>
  <si>
    <t>Tabla 9. Proyección de los Gases Efecto Invernadero</t>
  </si>
  <si>
    <r>
      <rPr>
        <b/>
        <sz val="10"/>
        <color rgb="FFFFFFFF"/>
        <rFont val="Calibri"/>
        <charset val="134"/>
        <scheme val="minor"/>
      </rPr>
      <t>CH</t>
    </r>
    <r>
      <rPr>
        <b/>
        <vertAlign val="subscript"/>
        <sz val="8"/>
        <color rgb="FFFFFFFF"/>
        <rFont val="Arial"/>
        <charset val="134"/>
      </rPr>
      <t>4</t>
    </r>
    <r>
      <rPr>
        <b/>
        <sz val="8"/>
        <color rgb="FFFFFFFF"/>
        <rFont val="Arial"/>
        <charset val="134"/>
      </rPr>
      <t xml:space="preserve"> generado en TCA</t>
    </r>
  </si>
  <si>
    <r>
      <rPr>
        <b/>
        <sz val="10"/>
        <color rgb="FFFFFFFF"/>
        <rFont val="Calibri"/>
        <charset val="134"/>
        <scheme val="minor"/>
      </rPr>
      <t>CH</t>
    </r>
    <r>
      <rPr>
        <b/>
        <vertAlign val="subscript"/>
        <sz val="8"/>
        <color rgb="FFFFFFFF"/>
        <rFont val="Arial"/>
        <charset val="134"/>
      </rPr>
      <t>4</t>
    </r>
    <r>
      <rPr>
        <b/>
        <sz val="8"/>
        <color rgb="FFFFFFFF"/>
        <rFont val="Arial"/>
        <charset val="134"/>
      </rPr>
      <t xml:space="preserve"> generado en Relleno Sanitario</t>
    </r>
  </si>
  <si>
    <r>
      <rPr>
        <b/>
        <sz val="10"/>
        <color rgb="FFFFFFFF"/>
        <rFont val="Calibri"/>
        <charset val="134"/>
        <scheme val="minor"/>
      </rPr>
      <t>CH</t>
    </r>
    <r>
      <rPr>
        <b/>
        <vertAlign val="subscript"/>
        <sz val="8"/>
        <color rgb="FFFFFFFF"/>
        <rFont val="Arial"/>
        <charset val="134"/>
      </rPr>
      <t>4</t>
    </r>
    <r>
      <rPr>
        <b/>
        <sz val="8"/>
        <color rgb="FFFFFFFF"/>
        <rFont val="Arial"/>
        <charset val="134"/>
      </rPr>
      <t xml:space="preserve"> evitado</t>
    </r>
  </si>
  <si>
    <t>Emisiones de metano evitadas en CO2 equivalente</t>
  </si>
  <si>
    <t>Valorizacion de CO2 equivalente</t>
  </si>
  <si>
    <t>(Ton/año)</t>
  </si>
  <si>
    <t>MXN</t>
  </si>
  <si>
    <t>A</t>
  </si>
  <si>
    <t>B</t>
  </si>
  <si>
    <t>A-B</t>
  </si>
  <si>
    <t>C</t>
  </si>
  <si>
    <t>D*PrecioBonoMXN</t>
  </si>
  <si>
    <t xml:space="preserve">Total </t>
  </si>
  <si>
    <t xml:space="preserve">Nota: Para ver detalle de los cálculos referirse al anexo "BonosCarbonoRS" </t>
  </si>
  <si>
    <t>Monto Total de Inversión</t>
  </si>
  <si>
    <t>Tabla 1. Monto Total de Inversión</t>
  </si>
  <si>
    <t>Unidad de Negocio</t>
  </si>
  <si>
    <t>Cant.</t>
  </si>
  <si>
    <t>$ P.U.</t>
  </si>
  <si>
    <t>$ Importe (Sin IVA)</t>
  </si>
  <si>
    <t>$ Importe (Con IVA)</t>
  </si>
  <si>
    <t>Estación de Transferencia (ET)</t>
  </si>
  <si>
    <t>Infraestructura</t>
  </si>
  <si>
    <t>Terreno (20,000 M2)</t>
  </si>
  <si>
    <t>m2</t>
  </si>
  <si>
    <t>Proyecto ejecutivo incluyendo estudios, permisos y trámites</t>
  </si>
  <si>
    <t>Lote</t>
  </si>
  <si>
    <t>Obra civil</t>
  </si>
  <si>
    <t>Obra Mecánica (Tuberías, proceso, estructuras y soportes metálicos)</t>
  </si>
  <si>
    <t>Obra Eléctrica (Canalización y cableado)</t>
  </si>
  <si>
    <t>Equipamiento</t>
  </si>
  <si>
    <t>Vehículos menores (Carros compactos y camionetas)</t>
  </si>
  <si>
    <t>unidad</t>
  </si>
  <si>
    <t>Vehículos recolectores</t>
  </si>
  <si>
    <t>Subestación completa de 300 KVA  tipo aérea</t>
  </si>
  <si>
    <t>pza</t>
  </si>
  <si>
    <t>Equipos eléctricos (Interruptor, CCM)</t>
  </si>
  <si>
    <t>Sistema contraincendio completo con bomba y tanque</t>
  </si>
  <si>
    <t>Equipos y mobiliario de oficina</t>
  </si>
  <si>
    <t>Báscula de registro y control de 40 t (Cotización báscula similar)</t>
  </si>
  <si>
    <t>Contenedor remolque abierto de 30 m3 (Punto verde, Ver Cotización anexa)</t>
  </si>
  <si>
    <t xml:space="preserve">Sistema de compactacion MP-5070TS de 2x30 kW completa de 70 toneladas (Ver cotización GREEN ROBOTS 25/08/2022 anexa) Incluye cada uno: </t>
  </si>
  <si>
    <t>C150D6+TT+CA | Planta de emergencia Diesel, capacidad 150KW Standby (Inc. equipo de generación, tablero de transf. y Caseta - Automatica) - CUMMINS</t>
  </si>
  <si>
    <t>Equipos menores (Taller, PTARi 20 m/d, etc.)</t>
  </si>
  <si>
    <t>Instalación, pruebas y arranque de equipos</t>
  </si>
  <si>
    <t>Supervisión externa</t>
  </si>
  <si>
    <t>Sub-TOTAL</t>
  </si>
  <si>
    <t>Sitio de Disposición Final (NRSM)</t>
  </si>
  <si>
    <t>Gastos De Preinversión</t>
  </si>
  <si>
    <t xml:space="preserve">Compra Terreno </t>
  </si>
  <si>
    <t>Celda 1A</t>
  </si>
  <si>
    <t>Obra</t>
  </si>
  <si>
    <t>Muro</t>
  </si>
  <si>
    <t>Celda Emergencia</t>
  </si>
  <si>
    <t>Oficinas, Regaderas, Caseta y Caja</t>
  </si>
  <si>
    <t>Calles</t>
  </si>
  <si>
    <t>Laguna Lixiviados</t>
  </si>
  <si>
    <t>Baja Tension</t>
  </si>
  <si>
    <t>Media tensión</t>
  </si>
  <si>
    <t>Proyecto</t>
  </si>
  <si>
    <t>SISTEMA CONTRAINCENDIOS</t>
  </si>
  <si>
    <t>SISTEMA DE EXTRACCIÓN DE LIXIVIADOS</t>
  </si>
  <si>
    <t>Bascula de 40 t</t>
  </si>
  <si>
    <t>Equipo de oficinas y amueblado</t>
  </si>
  <si>
    <t>Sistema de vigilancia</t>
  </si>
  <si>
    <t>Sistama de control SCADA</t>
  </si>
  <si>
    <t>Sistema de monitoreo de lixiviados</t>
  </si>
  <si>
    <t>Sistema de monitoreo de biogás</t>
  </si>
  <si>
    <t>Sistema de monitoreo de acuifero</t>
  </si>
  <si>
    <t>Supervisión</t>
  </si>
  <si>
    <t>Planta de Tratamiento de RSU y CDR  (FÍSICA + BIOLOGICA AERÓBICA)</t>
  </si>
  <si>
    <t>PT RSU CDR  (FÍSICA + BIOLOGICA AERÓBICA)</t>
  </si>
  <si>
    <t>Obra Mecánica (Tuberías, estructuras y soportes metálicos)</t>
  </si>
  <si>
    <t>Equipo mecánico para separación (RECICLADO)</t>
  </si>
  <si>
    <t>Equipo de secado biológico (BIODIGESTION)</t>
  </si>
  <si>
    <t>Subestación completa de 1500 KVA  terrestre</t>
  </si>
  <si>
    <t>Grúa puente de 15 ton</t>
  </si>
  <si>
    <t>Camion levantacontenedores roll on roll of</t>
  </si>
  <si>
    <t>Contenedores de rechazo 34 m3</t>
  </si>
  <si>
    <t>Báscula magnetec</t>
  </si>
  <si>
    <t>Góndolas de 4 m3</t>
  </si>
  <si>
    <t>Báscula electronica digital 2 ton</t>
  </si>
  <si>
    <t>Hidrolavadora Karsher</t>
  </si>
  <si>
    <t>Equipo hidráulico hook lift</t>
  </si>
  <si>
    <t>Montacargas Iron FD 30 ton.</t>
  </si>
  <si>
    <t>Cargador frontal tipo 950 Cat.</t>
  </si>
  <si>
    <t>Bobcat Iron WS60</t>
  </si>
  <si>
    <t>Plataforma de tijera Genie GS 1932 8m</t>
  </si>
  <si>
    <t>Camión rechazo MV16 International</t>
  </si>
  <si>
    <t>Instalación de equipos periféricos</t>
  </si>
  <si>
    <t xml:space="preserve">Planta de tratamiento biológica aeróbica de lixiviados cap. 250 m3/d </t>
  </si>
  <si>
    <t>CLAUSURA DEL RELLENO SANITARIO</t>
  </si>
  <si>
    <t>Proyecto Ejecutivo</t>
  </si>
  <si>
    <t>proyecto</t>
  </si>
  <si>
    <t>Cobertura final de clausura</t>
  </si>
  <si>
    <t>Conformación final del sitio</t>
  </si>
  <si>
    <t>Drenaje pluvial</t>
  </si>
  <si>
    <t>ml</t>
  </si>
  <si>
    <t>Sistema de captación y manejo de lixiviados</t>
  </si>
  <si>
    <t>Sistema</t>
  </si>
  <si>
    <t>Sistema de captación y quemado de Biogas</t>
  </si>
  <si>
    <t>Sistema de vigilancia remota completo</t>
  </si>
  <si>
    <t>camara</t>
  </si>
  <si>
    <t>Elaboración de programa de mantenimiento postclausura</t>
  </si>
  <si>
    <t>manual</t>
  </si>
  <si>
    <t>Elaboración de programa de monitoreo postclausura</t>
  </si>
  <si>
    <t>Adecuaciones para uso final incluyendo reforestación</t>
  </si>
  <si>
    <t>SUPERVISION</t>
  </si>
  <si>
    <t>Ampliación Relleno Sanitario Actual</t>
  </si>
  <si>
    <t>AMPLIACIÓN RELLENO ACTUAL</t>
  </si>
  <si>
    <t>Sub Total</t>
  </si>
  <si>
    <t>TOTAL</t>
  </si>
  <si>
    <t>PROGRAMA FINANCIERO DE INVERSION</t>
  </si>
  <si>
    <t>Tabla 1. Calendario de Inversión (costos sin IVA)</t>
  </si>
  <si>
    <t>$ IMPORTE</t>
  </si>
  <si>
    <t>Año 2024</t>
  </si>
  <si>
    <t>Año 2025</t>
  </si>
  <si>
    <t>Año 2026</t>
  </si>
  <si>
    <t>MES 4</t>
  </si>
  <si>
    <t>MES 5</t>
  </si>
  <si>
    <t>MES 6</t>
  </si>
  <si>
    <t>MES 7</t>
  </si>
  <si>
    <t>MES 8</t>
  </si>
  <si>
    <t>MES 9</t>
  </si>
  <si>
    <t>MES 10</t>
  </si>
  <si>
    <t>MES 11</t>
  </si>
  <si>
    <t>MES 12</t>
  </si>
  <si>
    <t>MES 1</t>
  </si>
  <si>
    <t>MES 2</t>
  </si>
  <si>
    <t>MES 3</t>
  </si>
  <si>
    <t>Ampliación Relleno Actual</t>
  </si>
  <si>
    <t>PT Separacion+ CDR</t>
  </si>
  <si>
    <t>Sitio de Disposición + Relleno</t>
  </si>
  <si>
    <t>Tabla 2. Calendario de Inversión (porcentaje)</t>
  </si>
  <si>
    <t>MES 13</t>
  </si>
  <si>
    <t>MES 14</t>
  </si>
  <si>
    <t>MES 15</t>
  </si>
  <si>
    <t>MES 16</t>
  </si>
  <si>
    <t>MES 17</t>
  </si>
  <si>
    <t>MES 18</t>
  </si>
  <si>
    <t>MES 19</t>
  </si>
  <si>
    <t>MES 20</t>
  </si>
  <si>
    <t>MES 21</t>
  </si>
  <si>
    <t>MES 22</t>
  </si>
  <si>
    <t>MES 23</t>
  </si>
  <si>
    <t>MES 24</t>
  </si>
  <si>
    <t>MES 25</t>
  </si>
  <si>
    <t>Suma de Inversión</t>
  </si>
  <si>
    <t>Etiquetas de columna</t>
  </si>
  <si>
    <t>Etiquetas de fila</t>
  </si>
  <si>
    <t>Churintzio</t>
  </si>
  <si>
    <t>La Piedad</t>
  </si>
  <si>
    <t>Numarán</t>
  </si>
  <si>
    <t>Penjamillo</t>
  </si>
  <si>
    <t>Tanhuato</t>
  </si>
  <si>
    <t>Yurécuaro</t>
  </si>
  <si>
    <t>Zináparo</t>
  </si>
  <si>
    <t>Total general</t>
  </si>
  <si>
    <t>Estaciones de Transferencia</t>
  </si>
  <si>
    <t>Planta de Separación de RSU (PTS)</t>
  </si>
  <si>
    <t>Recolección</t>
  </si>
  <si>
    <t>Sitio de Disposición Final de Residuos Sólidos Urbanos con Relleno Sanitario (RSA)</t>
  </si>
  <si>
    <t>Costos de Operación y Mantenimiento Mayor (reinversiones)</t>
  </si>
  <si>
    <t>Tabla 1. Programa de Mantenimiento Mayor</t>
  </si>
  <si>
    <t>Ampliación del Relleno Actual</t>
  </si>
  <si>
    <t>Costos de Operación y Mantenimiento del Proyecto con fecha de ABRIL DEL 2023</t>
  </si>
  <si>
    <t>FACTOR CRECIMIENTO SOBRE 2023</t>
  </si>
  <si>
    <t>FACTOR 2023</t>
  </si>
  <si>
    <t>Ampliación RSA</t>
  </si>
  <si>
    <t>FIJO</t>
  </si>
  <si>
    <t>VARIABLE</t>
  </si>
  <si>
    <t>Otros costos (Distribución + capacidad))</t>
  </si>
  <si>
    <t>Subtotal Energía Eléctrica Parte Variable</t>
  </si>
  <si>
    <t>Otros costos (Distribución + capacidad)</t>
  </si>
  <si>
    <t>Costo Por Tenelada</t>
  </si>
  <si>
    <t>Costo Variale por Tonelada</t>
  </si>
  <si>
    <t>Flujo de Costos y Beneficios</t>
  </si>
  <si>
    <t>Tabla 1. Datos para la Evaluación</t>
  </si>
  <si>
    <t>Año base</t>
  </si>
  <si>
    <t>Costo de inversión (sin IVA):</t>
  </si>
  <si>
    <t>Años de construcción:</t>
  </si>
  <si>
    <t>Años de vida útil:</t>
  </si>
  <si>
    <t>Tabla 2. Flujo de Costos y Beneficios</t>
  </si>
  <si>
    <t>Año del proyecto</t>
  </si>
  <si>
    <t>Valorización</t>
  </si>
  <si>
    <t>Venta de CDRs</t>
  </si>
  <si>
    <t>Ahorros en recolección</t>
  </si>
  <si>
    <t>CO2e evitado en Transporte</t>
  </si>
  <si>
    <t>CO2e evitado en Disposición Final</t>
  </si>
  <si>
    <t>Costos de inversión</t>
  </si>
  <si>
    <t>Costos de operación y mantenimiento menor</t>
  </si>
  <si>
    <t xml:space="preserve">Costos de mantenimiento mayor </t>
  </si>
  <si>
    <t>Costos totales por año</t>
  </si>
  <si>
    <t>Flujo neto</t>
  </si>
  <si>
    <t>Flujo neto a valor presente</t>
  </si>
  <si>
    <t>Beneficios Total</t>
  </si>
  <si>
    <t>VPN</t>
  </si>
  <si>
    <t>TIR</t>
  </si>
  <si>
    <t>TRI</t>
  </si>
  <si>
    <t>Analisis de Sensibilidad</t>
  </si>
  <si>
    <t>Costos de inversión (no incluyen IVA):</t>
  </si>
  <si>
    <t>Cambio en el monto de inversión:</t>
  </si>
  <si>
    <t>Beneficios Totales</t>
  </si>
  <si>
    <t>Cambio en el monto de inversión</t>
  </si>
  <si>
    <t>Tabla resumen de Variaciones</t>
  </si>
  <si>
    <t>Variación</t>
  </si>
  <si>
    <t>Inversión</t>
  </si>
  <si>
    <t>Costo a valor presente</t>
  </si>
  <si>
    <t>Cambio en los gastos de operación y mantto:</t>
  </si>
  <si>
    <t>Cambio en los gastos de operación y mantenimiento</t>
  </si>
  <si>
    <t>Costo Anual de Operación y Mantenimiento (promedio)</t>
  </si>
  <si>
    <t>Cambio en Beneficios:</t>
  </si>
  <si>
    <t>Cambio en los beneficios</t>
  </si>
  <si>
    <t>Beneficios Anuales (promedio)</t>
  </si>
</sst>
</file>

<file path=xl/styles.xml><?xml version="1.0" encoding="utf-8"?>
<styleSheet xmlns="http://schemas.openxmlformats.org/spreadsheetml/2006/main" xmlns:xr9="http://schemas.microsoft.com/office/spreadsheetml/2016/revision9">
  <numFmts count="35">
    <numFmt numFmtId="42" formatCode="_(&quot;$&quot;* #,##0_);_(&quot;$&quot;* \(#,##0\);_(&quot;$&quot;* &quot;-&quot;_);_(@_)"/>
    <numFmt numFmtId="176" formatCode="_-* #,##0.00_-;\-* #,##0.00_-;_-* &quot;-&quot;??_-;_-@_-"/>
    <numFmt numFmtId="177" formatCode="_-&quot;£&quot;* #,##0.00_-;\-&quot;£&quot;* #,##0.00_-;_-&quot;£&quot;* &quot;-&quot;??_-;_-@_-"/>
    <numFmt numFmtId="178" formatCode="_ * #,##0_ ;_ * \-#,##0_ ;_ * &quot;-&quot;_ ;_ @_ "/>
    <numFmt numFmtId="179" formatCode="_-&quot;$&quot;* #,##0.00_-;\-&quot;$&quot;* #,##0.00_-;_-&quot;$&quot;* &quot;-&quot;??_-;_-@_-"/>
    <numFmt numFmtId="180" formatCode="_(&quot;$&quot;\ * #,##0.00_);_(&quot;$&quot;\ * \(#,##0.00\);_(&quot;$&quot;\ * &quot;-&quot;??_);_(@_)"/>
    <numFmt numFmtId="181" formatCode="_(&quot;MX$&quot;* #,##0.00_);_(&quot;MX$&quot;* \(#,##0.00\);_(&quot;MX$&quot;* &quot;-&quot;??_);_(@_)"/>
    <numFmt numFmtId="182" formatCode="_-* #,##0_-;\-* #,##0_-;_-* &quot;-&quot;??_-;_-@_-"/>
    <numFmt numFmtId="183" formatCode="&quot;$&quot;#,##0.00"/>
    <numFmt numFmtId="184" formatCode="0.0%"/>
    <numFmt numFmtId="185" formatCode="&quot;$&quot;#,##0;[Red]\-&quot;$&quot;#,##0"/>
    <numFmt numFmtId="186" formatCode="_-[$$-80A]* #,##0.00_-;\-[$$-80A]* #,##0.00_-;_-[$$-80A]* &quot;-&quot;??_-;_-@_-"/>
    <numFmt numFmtId="187" formatCode="&quot;$&quot;#,##0"/>
    <numFmt numFmtId="188" formatCode="_-* #,##0.0000_-;\-* #,##0.0000_-;_-* &quot;-&quot;??_-;_-@_-"/>
    <numFmt numFmtId="189" formatCode="_-* #,##0.00000_-;\-* #,##0.00000_-;_-* &quot;-&quot;??_-;_-@_-"/>
    <numFmt numFmtId="190" formatCode="0.00000"/>
    <numFmt numFmtId="191" formatCode="_-* #,##0.0_-;\-* #,##0.0_-;_-* &quot;-&quot;??_-;_-@_-"/>
    <numFmt numFmtId="192" formatCode="#\ ??/??"/>
    <numFmt numFmtId="193" formatCode="_-&quot;$&quot;* #,##0_-;\-&quot;$&quot;* #,##0_-;_-&quot;$&quot;* &quot;-&quot;??_-;_-@_-"/>
    <numFmt numFmtId="194" formatCode="_-[$$-80A]* #,##0_-;\-[$$-80A]* #,##0_-;_-[$$-80A]* &quot;-&quot;??_-;_-@_-"/>
    <numFmt numFmtId="195" formatCode="0.0000%"/>
    <numFmt numFmtId="196" formatCode="[$$-1009]#,##0.00"/>
    <numFmt numFmtId="197" formatCode="#,##0.0000000"/>
    <numFmt numFmtId="198" formatCode="0.00000%"/>
    <numFmt numFmtId="199" formatCode="#,##0.0"/>
    <numFmt numFmtId="200" formatCode="[$$-80A]#,##0.00;\-[$$-80A]#,##0.00"/>
    <numFmt numFmtId="201" formatCode="0.0"/>
    <numFmt numFmtId="202" formatCode="_-* #,##0.000_-;\-* #,##0.000_-;_-* &quot;-&quot;??_-;_-@_-"/>
    <numFmt numFmtId="203" formatCode="_-* #,##0.0_-;\-* #,##0.0_-;_-* &quot;-&quot;?_-;_-@_-"/>
    <numFmt numFmtId="204" formatCode="0.0000"/>
    <numFmt numFmtId="205" formatCode="#,##0_ ;[Red]\-#,##0\ "/>
    <numFmt numFmtId="206" formatCode="0.000"/>
    <numFmt numFmtId="207" formatCode="#,##0.000"/>
    <numFmt numFmtId="208" formatCode="General_)"/>
    <numFmt numFmtId="209" formatCode="#,##0.000000000"/>
  </numFmts>
  <fonts count="121">
    <font>
      <sz val="11"/>
      <color theme="1"/>
      <name val="Calibri"/>
      <charset val="134"/>
      <scheme val="minor"/>
    </font>
    <font>
      <sz val="8"/>
      <color theme="1"/>
      <name val="Calibri"/>
      <charset val="134"/>
      <scheme val="minor"/>
    </font>
    <font>
      <b/>
      <sz val="16"/>
      <color theme="0"/>
      <name val="Calibri"/>
      <charset val="134"/>
      <scheme val="minor"/>
    </font>
    <font>
      <b/>
      <sz val="11"/>
      <color theme="1"/>
      <name val="Calibri"/>
      <charset val="134"/>
      <scheme val="minor"/>
    </font>
    <font>
      <b/>
      <sz val="8"/>
      <name val="Arial"/>
      <charset val="134"/>
    </font>
    <font>
      <sz val="8"/>
      <color theme="1"/>
      <name val="Arial"/>
      <charset val="134"/>
    </font>
    <font>
      <b/>
      <sz val="8"/>
      <color rgb="FF94005F"/>
      <name val="Arial"/>
      <charset val="134"/>
    </font>
    <font>
      <b/>
      <sz val="8"/>
      <color theme="1"/>
      <name val="Arial"/>
      <charset val="134"/>
    </font>
    <font>
      <b/>
      <sz val="8"/>
      <color theme="0"/>
      <name val="Arial"/>
      <charset val="134"/>
    </font>
    <font>
      <sz val="8"/>
      <color rgb="FFFF0000"/>
      <name val="Arial"/>
      <charset val="134"/>
    </font>
    <font>
      <sz val="8"/>
      <color theme="0"/>
      <name val="Arial"/>
      <charset val="134"/>
    </font>
    <font>
      <sz val="8"/>
      <color theme="1"/>
      <name val="Sylfaen"/>
      <charset val="134"/>
    </font>
    <font>
      <sz val="8"/>
      <color rgb="FF000000"/>
      <name val="Arial"/>
      <charset val="134"/>
    </font>
    <font>
      <b/>
      <sz val="8"/>
      <color rgb="FF000000"/>
      <name val="Arial"/>
      <charset val="134"/>
    </font>
    <font>
      <sz val="10"/>
      <color theme="1"/>
      <name val="Calibri"/>
      <charset val="134"/>
      <scheme val="minor"/>
    </font>
    <font>
      <b/>
      <sz val="10"/>
      <color theme="1"/>
      <name val="Calibri"/>
      <charset val="134"/>
      <scheme val="minor"/>
    </font>
    <font>
      <b/>
      <sz val="10"/>
      <color theme="0"/>
      <name val="Calibri"/>
      <charset val="134"/>
      <scheme val="minor"/>
    </font>
    <font>
      <sz val="10"/>
      <color theme="1"/>
      <name val="Arial"/>
      <charset val="134"/>
    </font>
    <font>
      <b/>
      <sz val="10"/>
      <color rgb="FF94005F"/>
      <name val="Calibri"/>
      <charset val="134"/>
      <scheme val="minor"/>
    </font>
    <font>
      <b/>
      <sz val="10"/>
      <color theme="1"/>
      <name val="Arial"/>
      <charset val="134"/>
    </font>
    <font>
      <b/>
      <sz val="10"/>
      <color theme="0"/>
      <name val="Arial"/>
      <charset val="134"/>
    </font>
    <font>
      <sz val="10"/>
      <color rgb="FFFF0000"/>
      <name val="Arial"/>
      <charset val="134"/>
    </font>
    <font>
      <b/>
      <sz val="10"/>
      <name val="Arial"/>
      <charset val="134"/>
    </font>
    <font>
      <sz val="10"/>
      <color theme="0"/>
      <name val="Arial"/>
      <charset val="134"/>
    </font>
    <font>
      <sz val="10"/>
      <color theme="1"/>
      <name val="Sylfaen"/>
      <charset val="134"/>
    </font>
    <font>
      <sz val="10"/>
      <color rgb="FF000000"/>
      <name val="Arial"/>
      <charset val="134"/>
    </font>
    <font>
      <b/>
      <sz val="10"/>
      <color rgb="FF000000"/>
      <name val="Arial"/>
      <charset val="134"/>
    </font>
    <font>
      <sz val="16"/>
      <color theme="1"/>
      <name val="Calibri"/>
      <charset val="134"/>
      <scheme val="minor"/>
    </font>
    <font>
      <b/>
      <sz val="14"/>
      <name val="Arial"/>
      <charset val="134"/>
    </font>
    <font>
      <b/>
      <sz val="12"/>
      <color rgb="FF94005F"/>
      <name val="Arial"/>
      <charset val="134"/>
    </font>
    <font>
      <sz val="11"/>
      <color theme="1"/>
      <name val="Arial"/>
      <charset val="134"/>
    </font>
    <font>
      <b/>
      <sz val="11"/>
      <color rgb="FFC00000"/>
      <name val="Arial"/>
      <charset val="134"/>
    </font>
    <font>
      <b/>
      <sz val="11"/>
      <name val="Arial"/>
      <charset val="134"/>
    </font>
    <font>
      <b/>
      <sz val="11"/>
      <color theme="1"/>
      <name val="Arial"/>
      <charset val="134"/>
    </font>
    <font>
      <b/>
      <sz val="10"/>
      <name val="Calibri"/>
      <charset val="134"/>
      <scheme val="minor"/>
    </font>
    <font>
      <b/>
      <sz val="11"/>
      <color theme="0"/>
      <name val="Calibri"/>
      <charset val="134"/>
      <scheme val="minor"/>
    </font>
    <font>
      <sz val="11"/>
      <name val="Calibri"/>
      <charset val="134"/>
      <scheme val="minor"/>
    </font>
    <font>
      <i/>
      <sz val="11"/>
      <color theme="1"/>
      <name val="Calibri"/>
      <charset val="134"/>
      <scheme val="minor"/>
    </font>
    <font>
      <b/>
      <i/>
      <sz val="11"/>
      <color theme="1"/>
      <name val="Calibri"/>
      <charset val="134"/>
      <scheme val="minor"/>
    </font>
    <font>
      <sz val="10"/>
      <name val="Calibri"/>
      <charset val="134"/>
      <scheme val="minor"/>
    </font>
    <font>
      <sz val="11"/>
      <color theme="0"/>
      <name val="Calibri"/>
      <charset val="134"/>
      <scheme val="minor"/>
    </font>
    <font>
      <b/>
      <sz val="11"/>
      <name val="Calibri"/>
      <charset val="134"/>
      <scheme val="minor"/>
    </font>
    <font>
      <b/>
      <sz val="9"/>
      <color rgb="FF94005F"/>
      <name val="Arial"/>
      <charset val="134"/>
    </font>
    <font>
      <sz val="9"/>
      <color theme="1"/>
      <name val="Arial"/>
      <charset val="134"/>
    </font>
    <font>
      <b/>
      <sz val="9"/>
      <color theme="1"/>
      <name val="Arial"/>
      <charset val="134"/>
    </font>
    <font>
      <b/>
      <sz val="9"/>
      <color theme="0"/>
      <name val="Arial"/>
      <charset val="134"/>
    </font>
    <font>
      <b/>
      <sz val="9"/>
      <name val="Arial"/>
      <charset val="134"/>
    </font>
    <font>
      <sz val="9"/>
      <color theme="0"/>
      <name val="Arial"/>
      <charset val="134"/>
    </font>
    <font>
      <sz val="9"/>
      <color theme="1"/>
      <name val="Calibri"/>
      <charset val="134"/>
      <scheme val="minor"/>
    </font>
    <font>
      <sz val="10"/>
      <color rgb="FF000000"/>
      <name val="Calibri"/>
      <charset val="134"/>
      <scheme val="minor"/>
    </font>
    <font>
      <b/>
      <sz val="10"/>
      <color rgb="FF000000"/>
      <name val="Calibri"/>
      <charset val="134"/>
      <scheme val="minor"/>
    </font>
    <font>
      <b/>
      <sz val="12"/>
      <color theme="1"/>
      <name val="Calibri"/>
      <charset val="134"/>
      <scheme val="minor"/>
    </font>
    <font>
      <sz val="10"/>
      <color theme="1"/>
      <name val="Calibri"/>
      <charset val="134"/>
    </font>
    <font>
      <b/>
      <sz val="14"/>
      <color theme="1"/>
      <name val="Calibri"/>
      <charset val="134"/>
      <scheme val="minor"/>
    </font>
    <font>
      <u val="singleAccounting"/>
      <sz val="10"/>
      <color theme="1"/>
      <name val="Calibri"/>
      <charset val="134"/>
    </font>
    <font>
      <b/>
      <sz val="10"/>
      <color rgb="FFFFFFFF"/>
      <name val="Calibri"/>
      <charset val="134"/>
      <scheme val="minor"/>
    </font>
    <font>
      <sz val="14"/>
      <color theme="1"/>
      <name val="Calibri"/>
      <charset val="134"/>
      <scheme val="minor"/>
    </font>
    <font>
      <sz val="10"/>
      <name val="Arial"/>
      <charset val="134"/>
    </font>
    <font>
      <sz val="11"/>
      <color theme="0"/>
      <name val="Arial"/>
      <charset val="134"/>
    </font>
    <font>
      <sz val="12"/>
      <color theme="1"/>
      <name val="Calibri"/>
      <charset val="134"/>
      <scheme val="minor"/>
    </font>
    <font>
      <b/>
      <sz val="12"/>
      <color theme="1"/>
      <name val="Arial"/>
      <charset val="134"/>
    </font>
    <font>
      <b/>
      <sz val="16"/>
      <name val="Calibri"/>
      <charset val="134"/>
      <scheme val="minor"/>
    </font>
    <font>
      <sz val="11"/>
      <color rgb="FF000000"/>
      <name val="Calibri"/>
      <charset val="134"/>
      <scheme val="minor"/>
    </font>
    <font>
      <u/>
      <sz val="11"/>
      <color theme="1"/>
      <name val="Calibri"/>
      <charset val="134"/>
      <scheme val="minor"/>
    </font>
    <font>
      <b/>
      <sz val="12"/>
      <color theme="0"/>
      <name val="Calibri"/>
      <charset val="134"/>
      <scheme val="minor"/>
    </font>
    <font>
      <b/>
      <sz val="14"/>
      <name val="Calibri"/>
      <charset val="134"/>
      <scheme val="minor"/>
    </font>
    <font>
      <b/>
      <sz val="12"/>
      <name val="Calibri"/>
      <charset val="134"/>
      <scheme val="minor"/>
    </font>
    <font>
      <sz val="11"/>
      <color rgb="FFFF0000"/>
      <name val="Calibri"/>
      <charset val="134"/>
      <scheme val="minor"/>
    </font>
    <font>
      <b/>
      <sz val="10"/>
      <color theme="1"/>
      <name val="Arial Narrow"/>
      <charset val="134"/>
    </font>
    <font>
      <sz val="10"/>
      <color theme="1"/>
      <name val="Arial Narrow"/>
      <charset val="134"/>
    </font>
    <font>
      <b/>
      <sz val="10"/>
      <color rgb="FF000000"/>
      <name val="Calibri"/>
      <charset val="134"/>
    </font>
    <font>
      <u/>
      <sz val="10"/>
      <color theme="1"/>
      <name val="Calibri"/>
      <charset val="134"/>
    </font>
    <font>
      <b/>
      <sz val="10"/>
      <color theme="1"/>
      <name val="Calibri"/>
      <charset val="134"/>
    </font>
    <font>
      <sz val="9"/>
      <color rgb="FF000000"/>
      <name val="Arial"/>
      <charset val="134"/>
    </font>
    <font>
      <b/>
      <sz val="9"/>
      <color rgb="FF000000"/>
      <name val="Arial"/>
      <charset val="134"/>
    </font>
    <font>
      <b/>
      <i/>
      <sz val="10"/>
      <color theme="1"/>
      <name val="Calibri"/>
      <charset val="134"/>
      <scheme val="minor"/>
    </font>
    <font>
      <i/>
      <sz val="10"/>
      <color theme="1"/>
      <name val="Calibri"/>
      <charset val="134"/>
      <scheme val="minor"/>
    </font>
    <font>
      <sz val="9"/>
      <name val="Calibri"/>
      <charset val="134"/>
      <scheme val="minor"/>
    </font>
    <font>
      <b/>
      <sz val="11"/>
      <color rgb="FFFF0000"/>
      <name val="Calibri"/>
      <charset val="134"/>
      <scheme val="minor"/>
    </font>
    <font>
      <sz val="11"/>
      <color theme="0" tint="-0.0499893185216834"/>
      <name val="Arial"/>
      <charset val="134"/>
    </font>
    <font>
      <sz val="11"/>
      <color theme="0" tint="-0.0499893185216834"/>
      <name val="Calibri"/>
      <charset val="134"/>
      <scheme val="minor"/>
    </font>
    <font>
      <sz val="10"/>
      <color theme="0" tint="-0.0499893185216834"/>
      <name val="Arial"/>
      <charset val="134"/>
    </font>
    <font>
      <sz val="11"/>
      <name val="Arial"/>
      <charset val="134"/>
    </font>
    <font>
      <b/>
      <sz val="16"/>
      <color theme="0"/>
      <name val="Arial"/>
      <charset val="134"/>
    </font>
    <font>
      <b/>
      <sz val="11"/>
      <color rgb="FF94005F"/>
      <name val="Calibri"/>
      <charset val="134"/>
      <scheme val="minor"/>
    </font>
    <font>
      <b/>
      <sz val="11"/>
      <color rgb="FF000000"/>
      <name val="Calibri"/>
      <charset val="134"/>
      <scheme val="minor"/>
    </font>
    <font>
      <u/>
      <sz val="11"/>
      <name val="Calibri"/>
      <charset val="134"/>
      <scheme val="minor"/>
    </font>
    <font>
      <sz val="8"/>
      <color rgb="FF212529"/>
      <name val="Arial"/>
      <charset val="134"/>
    </font>
    <font>
      <b/>
      <sz val="16"/>
      <name val="Arial"/>
      <charset val="134"/>
    </font>
    <font>
      <u/>
      <sz val="10"/>
      <name val="Arial"/>
      <charset val="134"/>
    </font>
    <font>
      <sz val="8"/>
      <name val="Arial"/>
      <charset val="134"/>
    </font>
    <font>
      <b/>
      <sz val="11"/>
      <color rgb="FF002060"/>
      <name val="Calibri"/>
      <charset val="134"/>
      <scheme val="minor"/>
    </font>
    <font>
      <sz val="8"/>
      <color rgb="FF555555"/>
      <name val="Arial"/>
      <charset val="134"/>
    </font>
    <font>
      <sz val="8"/>
      <name val="Calibri"/>
      <charset val="134"/>
      <scheme val="minor"/>
    </font>
    <font>
      <sz val="8"/>
      <color rgb="FF000000"/>
      <name val="Calibri"/>
      <charset val="134"/>
      <scheme val="minor"/>
    </font>
    <font>
      <b/>
      <sz val="10"/>
      <color rgb="FF2F2F2F"/>
      <name val="Calibri"/>
      <charset val="134"/>
      <scheme val="minor"/>
    </font>
    <font>
      <sz val="11"/>
      <color theme="1"/>
      <name val="Calibri"/>
      <charset val="134"/>
      <scheme val="minor"/>
    </font>
    <font>
      <u/>
      <sz val="11"/>
      <color theme="10"/>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2"/>
      <color theme="0"/>
      <name val="Calibri"/>
      <charset val="134"/>
      <scheme val="minor"/>
    </font>
    <font>
      <sz val="12"/>
      <color rgb="FF000000"/>
      <name val="Calibri Light"/>
      <charset val="134"/>
      <scheme val="major"/>
    </font>
    <font>
      <b/>
      <vertAlign val="subscript"/>
      <sz val="8"/>
      <color rgb="FFFFFFFF"/>
      <name val="Arial"/>
      <charset val="134"/>
    </font>
    <font>
      <b/>
      <sz val="8"/>
      <color rgb="FFFFFFFF"/>
      <name val="Arial"/>
      <charset val="134"/>
    </font>
    <font>
      <sz val="10"/>
      <color rgb="FF2F2F2F"/>
      <name val="Calibri"/>
      <charset val="134"/>
      <scheme val="minor"/>
    </font>
  </fonts>
  <fills count="56">
    <fill>
      <patternFill patternType="none"/>
    </fill>
    <fill>
      <patternFill patternType="gray125"/>
    </fill>
    <fill>
      <patternFill patternType="solid">
        <fgColor theme="4" tint="-0.249977111117893"/>
        <bgColor indexed="64"/>
      </patternFill>
    </fill>
    <fill>
      <patternFill patternType="solid">
        <fgColor theme="4" tint="0.399975585192419"/>
        <bgColor indexed="64"/>
      </patternFill>
    </fill>
    <fill>
      <patternFill patternType="solid">
        <fgColor theme="0" tint="-0.0499893185216834"/>
        <bgColor indexed="64"/>
      </patternFill>
    </fill>
    <fill>
      <patternFill patternType="solid">
        <fgColor theme="6" tint="-0.499984740745262"/>
        <bgColor indexed="64"/>
      </patternFill>
    </fill>
    <fill>
      <patternFill patternType="solid">
        <fgColor theme="0"/>
        <bgColor indexed="64"/>
      </patternFill>
    </fill>
    <fill>
      <patternFill patternType="solid">
        <fgColor theme="4" tint="0.799981688894314"/>
        <bgColor indexed="64"/>
      </patternFill>
    </fill>
    <fill>
      <patternFill patternType="solid">
        <fgColor theme="0" tint="-0.349986266670736"/>
        <bgColor indexed="64"/>
      </patternFill>
    </fill>
    <fill>
      <patternFill patternType="solid">
        <fgColor rgb="FFFFFFFF"/>
        <bgColor indexed="64"/>
      </patternFill>
    </fill>
    <fill>
      <patternFill patternType="solid">
        <fgColor theme="0" tint="-0.499984740745262"/>
        <bgColor indexed="64"/>
      </patternFill>
    </fill>
    <fill>
      <patternFill patternType="solid">
        <fgColor theme="0" tint="-0.149998474074526"/>
        <bgColor indexed="64"/>
      </patternFill>
    </fill>
    <fill>
      <patternFill patternType="solid">
        <fgColor theme="4" tint="0.599993896298105"/>
        <bgColor indexed="64"/>
      </patternFill>
    </fill>
    <fill>
      <patternFill patternType="solid">
        <fgColor theme="4" tint="-0.499984740745262"/>
        <bgColor indexed="64"/>
      </patternFill>
    </fill>
    <fill>
      <patternFill patternType="solid">
        <fgColor rgb="FFD9D9D9"/>
        <bgColor indexed="64"/>
      </patternFill>
    </fill>
    <fill>
      <patternFill patternType="solid">
        <fgColor rgb="FF0070C0"/>
        <bgColor indexed="64"/>
      </patternFill>
    </fill>
    <fill>
      <patternFill patternType="solid">
        <fgColor theme="0" tint="-0.249977111117893"/>
        <bgColor indexed="64"/>
      </patternFill>
    </fill>
    <fill>
      <patternFill patternType="solid">
        <fgColor theme="8" tint="0.599993896298105"/>
        <bgColor indexed="64"/>
      </patternFill>
    </fill>
    <fill>
      <patternFill patternType="solid">
        <fgColor theme="1"/>
        <bgColor indexed="64"/>
      </patternFill>
    </fill>
    <fill>
      <patternFill patternType="solid">
        <fgColor theme="5"/>
        <bgColor indexed="64"/>
      </patternFill>
    </fill>
    <fill>
      <patternFill patternType="solid">
        <fgColor theme="9" tint="-0.249977111117893"/>
        <bgColor indexed="64"/>
      </patternFill>
    </fill>
    <fill>
      <patternFill patternType="solid">
        <fgColor theme="8" tint="-0.499984740745262"/>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bgColor indexed="64"/>
      </patternFill>
    </fill>
    <fill>
      <patternFill patternType="solid">
        <fgColor theme="2" tint="-0.0999481185338908"/>
        <bgColor indexed="64"/>
      </patternFill>
    </fill>
  </fills>
  <borders count="63">
    <border>
      <left/>
      <right/>
      <top/>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auto="1"/>
      </left>
      <right style="thin">
        <color auto="1"/>
      </right>
      <top/>
      <bottom style="thin">
        <color auto="1"/>
      </bottom>
      <diagonal/>
    </border>
    <border>
      <left style="thin">
        <color theme="1"/>
      </left>
      <right style="thin">
        <color theme="1"/>
      </right>
      <top/>
      <bottom style="thin">
        <color theme="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bottom/>
      <diagonal/>
    </border>
    <border>
      <left style="thin">
        <color theme="1"/>
      </left>
      <right/>
      <top style="thin">
        <color theme="1"/>
      </top>
      <bottom/>
      <diagonal/>
    </border>
    <border>
      <left style="thin">
        <color theme="1"/>
      </left>
      <right/>
      <top/>
      <bottom style="thin">
        <color theme="1"/>
      </bottom>
      <diagonal/>
    </border>
    <border>
      <left/>
      <right style="thin">
        <color theme="1"/>
      </right>
      <top/>
      <bottom/>
      <diagonal/>
    </border>
    <border>
      <left style="thin">
        <color theme="1"/>
      </left>
      <right style="thin">
        <color theme="1"/>
      </right>
      <top/>
      <bottom/>
      <diagonal/>
    </border>
    <border>
      <left/>
      <right style="thin">
        <color auto="1"/>
      </right>
      <top style="thin">
        <color auto="1"/>
      </top>
      <bottom/>
      <diagonal/>
    </border>
    <border>
      <left/>
      <right/>
      <top style="thin">
        <color theme="1"/>
      </top>
      <bottom/>
      <diagonal/>
    </border>
    <border>
      <left style="thin">
        <color theme="1"/>
      </left>
      <right/>
      <top/>
      <bottom/>
      <diagonal/>
    </border>
    <border>
      <left/>
      <right style="medium">
        <color auto="1"/>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right style="thin">
        <color theme="1"/>
      </right>
      <top style="thin">
        <color theme="1"/>
      </top>
      <bottom/>
      <diagonal/>
    </border>
    <border>
      <left/>
      <right style="thin">
        <color theme="1"/>
      </right>
      <top/>
      <bottom style="thin">
        <color theme="1"/>
      </bottom>
      <diagonal/>
    </border>
    <border>
      <left style="thin">
        <color auto="1"/>
      </left>
      <right style="thin">
        <color theme="1"/>
      </right>
      <top style="thin">
        <color auto="1"/>
      </top>
      <bottom/>
      <diagonal/>
    </border>
    <border>
      <left style="thin">
        <color auto="1"/>
      </left>
      <right style="thin">
        <color theme="1"/>
      </right>
      <top/>
      <bottom/>
      <diagonal/>
    </border>
    <border>
      <left/>
      <right/>
      <top style="medium">
        <color auto="1"/>
      </top>
      <bottom style="medium">
        <color auto="1"/>
      </bottom>
      <diagonal/>
    </border>
    <border>
      <left style="medium">
        <color auto="1"/>
      </left>
      <right style="medium">
        <color auto="1"/>
      </right>
      <top/>
      <bottom/>
      <diagonal/>
    </border>
    <border>
      <left/>
      <right/>
      <top style="thin">
        <color auto="1"/>
      </top>
      <bottom style="double">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medium">
        <color rgb="FFDEE2E6"/>
      </bottom>
      <diagonal/>
    </border>
    <border>
      <left style="thin">
        <color rgb="FF000000"/>
      </left>
      <right style="thin">
        <color rgb="FF000000"/>
      </right>
      <top style="medium">
        <color rgb="FFDEE2E6"/>
      </top>
      <bottom/>
      <diagonal/>
    </border>
    <border>
      <left style="thin">
        <color rgb="FF000000"/>
      </left>
      <right style="thin">
        <color rgb="FF000000"/>
      </right>
      <top style="medium">
        <color rgb="FFDEE2E6"/>
      </top>
      <bottom style="thin">
        <color rgb="FF000000"/>
      </bottom>
      <diagonal/>
    </border>
    <border>
      <left/>
      <right/>
      <top style="thin">
        <color auto="1"/>
      </top>
      <bottom/>
      <diagonal/>
    </border>
    <border>
      <left style="thin">
        <color theme="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96" fillId="0" borderId="0" applyFont="0" applyFill="0" applyBorder="0" applyAlignment="0" applyProtection="0">
      <alignment vertical="center"/>
    </xf>
    <xf numFmtId="42" fontId="96" fillId="0" borderId="0" applyFont="0" applyFill="0" applyBorder="0" applyAlignment="0" applyProtection="0">
      <alignment vertical="center"/>
    </xf>
    <xf numFmtId="0" fontId="97" fillId="0" borderId="0" applyNumberFormat="0" applyFill="0" applyBorder="0" applyAlignment="0" applyProtection="0"/>
    <xf numFmtId="0" fontId="98" fillId="0" borderId="0" applyNumberFormat="0" applyFill="0" applyBorder="0" applyAlignment="0" applyProtection="0">
      <alignment vertical="center"/>
    </xf>
    <xf numFmtId="0" fontId="96" fillId="23" borderId="55" applyNumberFormat="0" applyFont="0" applyAlignment="0" applyProtection="0">
      <alignment vertical="center"/>
    </xf>
    <xf numFmtId="0" fontId="99" fillId="0" borderId="0" applyNumberFormat="0" applyFill="0" applyBorder="0" applyAlignment="0" applyProtection="0">
      <alignment vertical="center"/>
    </xf>
    <xf numFmtId="0" fontId="100" fillId="0" borderId="0" applyNumberFormat="0" applyFill="0" applyBorder="0" applyAlignment="0" applyProtection="0">
      <alignment vertical="center"/>
    </xf>
    <xf numFmtId="0" fontId="101" fillId="0" borderId="0" applyNumberFormat="0" applyFill="0" applyBorder="0" applyAlignment="0" applyProtection="0">
      <alignment vertical="center"/>
    </xf>
    <xf numFmtId="0" fontId="102" fillId="0" borderId="56" applyNumberFormat="0" applyFill="0" applyAlignment="0" applyProtection="0">
      <alignment vertical="center"/>
    </xf>
    <xf numFmtId="0" fontId="103" fillId="0" borderId="56" applyNumberFormat="0" applyFill="0" applyAlignment="0" applyProtection="0">
      <alignment vertical="center"/>
    </xf>
    <xf numFmtId="0" fontId="104" fillId="0" borderId="57" applyNumberFormat="0" applyFill="0" applyAlignment="0" applyProtection="0">
      <alignment vertical="center"/>
    </xf>
    <xf numFmtId="0" fontId="104" fillId="0" borderId="0" applyNumberFormat="0" applyFill="0" applyBorder="0" applyAlignment="0" applyProtection="0">
      <alignment vertical="center"/>
    </xf>
    <xf numFmtId="0" fontId="105" fillId="24" borderId="58" applyNumberFormat="0" applyAlignment="0" applyProtection="0">
      <alignment vertical="center"/>
    </xf>
    <xf numFmtId="0" fontId="106" fillId="25" borderId="59" applyNumberFormat="0" applyAlignment="0" applyProtection="0">
      <alignment vertical="center"/>
    </xf>
    <xf numFmtId="0" fontId="107" fillId="25" borderId="58" applyNumberFormat="0" applyAlignment="0" applyProtection="0">
      <alignment vertical="center"/>
    </xf>
    <xf numFmtId="0" fontId="108" fillId="26" borderId="60" applyNumberFormat="0" applyAlignment="0" applyProtection="0">
      <alignment vertical="center"/>
    </xf>
    <xf numFmtId="0" fontId="109" fillId="0" borderId="61" applyNumberFormat="0" applyFill="0" applyAlignment="0" applyProtection="0">
      <alignment vertical="center"/>
    </xf>
    <xf numFmtId="0" fontId="110" fillId="0" borderId="62" applyNumberFormat="0" applyFill="0" applyAlignment="0" applyProtection="0">
      <alignment vertical="center"/>
    </xf>
    <xf numFmtId="0" fontId="111" fillId="27" borderId="0" applyNumberFormat="0" applyBorder="0" applyAlignment="0" applyProtection="0">
      <alignment vertical="center"/>
    </xf>
    <xf numFmtId="0" fontId="112" fillId="28" borderId="0" applyNumberFormat="0" applyBorder="0" applyAlignment="0" applyProtection="0">
      <alignment vertical="center"/>
    </xf>
    <xf numFmtId="0" fontId="113" fillId="29" borderId="0" applyNumberFormat="0" applyBorder="0" applyAlignment="0" applyProtection="0">
      <alignment vertical="center"/>
    </xf>
    <xf numFmtId="0" fontId="114" fillId="30" borderId="0" applyNumberFormat="0" applyBorder="0" applyAlignment="0" applyProtection="0">
      <alignment vertical="center"/>
    </xf>
    <xf numFmtId="0" fontId="115" fillId="31" borderId="0" applyNumberFormat="0" applyBorder="0" applyAlignment="0" applyProtection="0">
      <alignment vertical="center"/>
    </xf>
    <xf numFmtId="0" fontId="115" fillId="32" borderId="0" applyNumberFormat="0" applyBorder="0" applyAlignment="0" applyProtection="0">
      <alignment vertical="center"/>
    </xf>
    <xf numFmtId="0" fontId="114" fillId="33" borderId="0" applyNumberFormat="0" applyBorder="0" applyAlignment="0" applyProtection="0">
      <alignment vertical="center"/>
    </xf>
    <xf numFmtId="0" fontId="114" fillId="34" borderId="0" applyNumberFormat="0" applyBorder="0" applyAlignment="0" applyProtection="0">
      <alignment vertical="center"/>
    </xf>
    <xf numFmtId="0" fontId="115" fillId="35" borderId="0" applyNumberFormat="0" applyBorder="0" applyAlignment="0" applyProtection="0">
      <alignment vertical="center"/>
    </xf>
    <xf numFmtId="0" fontId="115" fillId="36" borderId="0" applyNumberFormat="0" applyBorder="0" applyAlignment="0" applyProtection="0">
      <alignment vertical="center"/>
    </xf>
    <xf numFmtId="0" fontId="114" fillId="37" borderId="0" applyNumberFormat="0" applyBorder="0" applyAlignment="0" applyProtection="0">
      <alignment vertical="center"/>
    </xf>
    <xf numFmtId="0" fontId="114" fillId="38" borderId="0" applyNumberFormat="0" applyBorder="0" applyAlignment="0" applyProtection="0">
      <alignment vertical="center"/>
    </xf>
    <xf numFmtId="0" fontId="115" fillId="39" borderId="0" applyNumberFormat="0" applyBorder="0" applyAlignment="0" applyProtection="0">
      <alignment vertical="center"/>
    </xf>
    <xf numFmtId="0" fontId="115" fillId="40" borderId="0" applyNumberFormat="0" applyBorder="0" applyAlignment="0" applyProtection="0">
      <alignment vertical="center"/>
    </xf>
    <xf numFmtId="0" fontId="114" fillId="41" borderId="0" applyNumberFormat="0" applyBorder="0" applyAlignment="0" applyProtection="0">
      <alignment vertical="center"/>
    </xf>
    <xf numFmtId="0" fontId="114" fillId="42" borderId="0" applyNumberFormat="0" applyBorder="0" applyAlignment="0" applyProtection="0">
      <alignment vertical="center"/>
    </xf>
    <xf numFmtId="0" fontId="115" fillId="43" borderId="0" applyNumberFormat="0" applyBorder="0" applyAlignment="0" applyProtection="0">
      <alignment vertical="center"/>
    </xf>
    <xf numFmtId="0" fontId="115" fillId="44" borderId="0" applyNumberFormat="0" applyBorder="0" applyAlignment="0" applyProtection="0">
      <alignment vertical="center"/>
    </xf>
    <xf numFmtId="0" fontId="114" fillId="45" borderId="0" applyNumberFormat="0" applyBorder="0" applyAlignment="0" applyProtection="0">
      <alignment vertical="center"/>
    </xf>
    <xf numFmtId="0" fontId="114" fillId="46" borderId="0" applyNumberFormat="0" applyBorder="0" applyAlignment="0" applyProtection="0">
      <alignment vertical="center"/>
    </xf>
    <xf numFmtId="0" fontId="115" fillId="47" borderId="0" applyNumberFormat="0" applyBorder="0" applyAlignment="0" applyProtection="0">
      <alignment vertical="center"/>
    </xf>
    <xf numFmtId="0" fontId="115" fillId="48" borderId="0" applyNumberFormat="0" applyBorder="0" applyAlignment="0" applyProtection="0">
      <alignment vertical="center"/>
    </xf>
    <xf numFmtId="0" fontId="114" fillId="49" borderId="0" applyNumberFormat="0" applyBorder="0" applyAlignment="0" applyProtection="0">
      <alignment vertical="center"/>
    </xf>
    <xf numFmtId="0" fontId="114" fillId="50" borderId="0" applyNumberFormat="0" applyBorder="0" applyAlignment="0" applyProtection="0">
      <alignment vertical="center"/>
    </xf>
    <xf numFmtId="0" fontId="115" fillId="51" borderId="0" applyNumberFormat="0" applyBorder="0" applyAlignment="0" applyProtection="0">
      <alignment vertical="center"/>
    </xf>
    <xf numFmtId="0" fontId="115" fillId="52" borderId="0" applyNumberFormat="0" applyBorder="0" applyAlignment="0" applyProtection="0">
      <alignment vertical="center"/>
    </xf>
    <xf numFmtId="0" fontId="114" fillId="53" borderId="0" applyNumberFormat="0" applyBorder="0" applyAlignment="0" applyProtection="0">
      <alignment vertical="center"/>
    </xf>
    <xf numFmtId="176"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9" fontId="0" fillId="0" borderId="0" applyFont="0" applyFill="0" applyBorder="0" applyAlignment="0" applyProtection="0"/>
    <xf numFmtId="177" fontId="0" fillId="0" borderId="0" applyFont="0" applyFill="0" applyBorder="0" applyAlignment="0" applyProtection="0"/>
    <xf numFmtId="0" fontId="116" fillId="54" borderId="0" applyNumberFormat="0" applyBorder="0" applyAlignment="0" applyProtection="0"/>
    <xf numFmtId="0" fontId="117" fillId="55" borderId="33" applyBorder="0" applyAlignment="0" applyProtection="0">
      <alignment horizontal="center" vertical="center"/>
    </xf>
    <xf numFmtId="176"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80" fontId="0" fillId="0" borderId="0" applyFont="0" applyFill="0" applyBorder="0" applyAlignment="0" applyProtection="0"/>
    <xf numFmtId="181" fontId="59" fillId="0" borderId="0" applyFont="0" applyFill="0" applyBorder="0" applyAlignment="0" applyProtection="0"/>
    <xf numFmtId="179" fontId="0" fillId="0" borderId="0" applyFont="0" applyFill="0" applyBorder="0" applyAlignment="0" applyProtection="0"/>
    <xf numFmtId="179" fontId="59" fillId="0" borderId="0" applyFont="0" applyFill="0" applyBorder="0" applyAlignment="0" applyProtection="0"/>
    <xf numFmtId="0" fontId="0" fillId="0" borderId="0"/>
    <xf numFmtId="0" fontId="0" fillId="0" borderId="0"/>
    <xf numFmtId="0" fontId="59" fillId="0" borderId="0"/>
    <xf numFmtId="0" fontId="0" fillId="0" borderId="0"/>
    <xf numFmtId="0" fontId="0" fillId="0" borderId="0"/>
    <xf numFmtId="0" fontId="0" fillId="0" borderId="0"/>
    <xf numFmtId="0" fontId="59" fillId="0" borderId="0"/>
    <xf numFmtId="0" fontId="57" fillId="0" borderId="0"/>
    <xf numFmtId="0" fontId="0" fillId="0" borderId="0"/>
    <xf numFmtId="9" fontId="59" fillId="0" borderId="0" applyFont="0" applyFill="0" applyBorder="0" applyAlignment="0" applyProtection="0"/>
    <xf numFmtId="9" fontId="0" fillId="0" borderId="0" applyFont="0" applyFill="0" applyBorder="0" applyAlignment="0" applyProtection="0"/>
  </cellStyleXfs>
  <cellXfs count="1137">
    <xf numFmtId="0" fontId="0" fillId="0" borderId="0" xfId="0"/>
    <xf numFmtId="0" fontId="1" fillId="0" borderId="0" xfId="0" applyFont="1"/>
    <xf numFmtId="0" fontId="2" fillId="2" borderId="0" xfId="0" applyFont="1" applyFill="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182" fontId="0" fillId="0" borderId="0" xfId="1" applyNumberFormat="1" applyFont="1" applyAlignment="1">
      <alignment vertical="center"/>
    </xf>
    <xf numFmtId="0" fontId="3" fillId="3" borderId="0" xfId="0" applyFont="1" applyFill="1" applyAlignment="1">
      <alignment horizontal="center"/>
    </xf>
    <xf numFmtId="0" fontId="4" fillId="4" borderId="1" xfId="72" applyFont="1" applyFill="1" applyBorder="1" applyAlignment="1">
      <alignment vertical="center" wrapText="1"/>
    </xf>
    <xf numFmtId="0" fontId="5" fillId="0" borderId="1" xfId="72" applyFont="1" applyBorder="1" applyAlignment="1">
      <alignment horizontal="center" vertical="center"/>
    </xf>
    <xf numFmtId="0" fontId="5" fillId="0" borderId="0" xfId="70" applyFont="1"/>
    <xf numFmtId="9" fontId="5" fillId="0" borderId="1" xfId="3" applyFont="1" applyBorder="1" applyAlignment="1">
      <alignment horizontal="center" vertical="center"/>
    </xf>
    <xf numFmtId="0" fontId="5" fillId="0" borderId="0" xfId="72" applyFont="1"/>
    <xf numFmtId="183" fontId="5" fillId="0" borderId="1" xfId="72" applyNumberFormat="1" applyFont="1" applyBorder="1" applyAlignment="1">
      <alignment horizontal="center" vertical="center"/>
    </xf>
    <xf numFmtId="0" fontId="4" fillId="0" borderId="1" xfId="72" applyFont="1" applyBorder="1" applyAlignment="1">
      <alignment vertical="center" wrapText="1"/>
    </xf>
    <xf numFmtId="10" fontId="6" fillId="0" borderId="1" xfId="77" applyNumberFormat="1" applyFont="1" applyFill="1" applyBorder="1" applyAlignment="1">
      <alignment horizontal="center" vertical="center"/>
    </xf>
    <xf numFmtId="0" fontId="7" fillId="0" borderId="0" xfId="72" applyFont="1"/>
    <xf numFmtId="0" fontId="8" fillId="2" borderId="2" xfId="71" applyFont="1" applyFill="1" applyBorder="1" applyAlignment="1">
      <alignment vertical="center" wrapText="1"/>
    </xf>
    <xf numFmtId="0" fontId="8" fillId="2" borderId="2" xfId="70" applyFont="1" applyFill="1" applyBorder="1" applyAlignment="1">
      <alignment horizontal="center" vertical="center" wrapText="1"/>
    </xf>
    <xf numFmtId="0" fontId="8" fillId="5" borderId="2" xfId="70" applyFont="1" applyFill="1" applyBorder="1" applyAlignment="1">
      <alignment vertical="center" wrapText="1"/>
    </xf>
    <xf numFmtId="0" fontId="8" fillId="2" borderId="2" xfId="70" applyFont="1" applyFill="1" applyBorder="1" applyAlignment="1">
      <alignment vertical="center" wrapText="1"/>
    </xf>
    <xf numFmtId="0" fontId="5" fillId="0" borderId="3" xfId="71" applyFont="1" applyBorder="1" applyAlignment="1">
      <alignment horizontal="center" vertical="center"/>
    </xf>
    <xf numFmtId="183" fontId="5" fillId="0" borderId="3" xfId="66" applyNumberFormat="1" applyFont="1" applyBorder="1" applyAlignment="1">
      <alignment horizontal="center" vertical="center"/>
    </xf>
    <xf numFmtId="0" fontId="5" fillId="0" borderId="0" xfId="71" applyFont="1"/>
    <xf numFmtId="179" fontId="5" fillId="6" borderId="0" xfId="66" applyFont="1" applyFill="1" applyBorder="1" applyAlignment="1">
      <alignment horizontal="center" vertical="center"/>
    </xf>
    <xf numFmtId="183" fontId="5" fillId="0" borderId="0" xfId="71" applyNumberFormat="1" applyFont="1"/>
    <xf numFmtId="0" fontId="7" fillId="7" borderId="1" xfId="70" applyFont="1" applyFill="1" applyBorder="1" applyAlignment="1">
      <alignment horizontal="center" vertical="center"/>
    </xf>
    <xf numFmtId="4" fontId="5" fillId="0" borderId="0" xfId="71" applyNumberFormat="1" applyFont="1"/>
    <xf numFmtId="0" fontId="4" fillId="8" borderId="4" xfId="70" applyFont="1" applyFill="1" applyBorder="1" applyAlignment="1">
      <alignment horizontal="center" vertical="center" wrapText="1"/>
    </xf>
    <xf numFmtId="0" fontId="4" fillId="8" borderId="5" xfId="70" applyFont="1" applyFill="1" applyBorder="1" applyAlignment="1">
      <alignment horizontal="center" vertical="center" wrapText="1"/>
    </xf>
    <xf numFmtId="184" fontId="8" fillId="2" borderId="3" xfId="77" applyNumberFormat="1" applyFont="1" applyFill="1" applyBorder="1" applyAlignment="1">
      <alignment horizontal="center" vertical="center"/>
    </xf>
    <xf numFmtId="9" fontId="8" fillId="2" borderId="3" xfId="77" applyFont="1" applyFill="1" applyBorder="1" applyAlignment="1">
      <alignment horizontal="center" vertical="center"/>
    </xf>
    <xf numFmtId="0" fontId="8" fillId="2" borderId="3" xfId="70" applyFont="1" applyFill="1" applyBorder="1" applyAlignment="1">
      <alignment horizontal="center" vertical="center" wrapText="1"/>
    </xf>
    <xf numFmtId="183" fontId="7" fillId="0" borderId="3" xfId="66" applyNumberFormat="1" applyFont="1" applyFill="1" applyBorder="1" applyAlignment="1">
      <alignment horizontal="center" vertical="center"/>
    </xf>
    <xf numFmtId="183" fontId="5" fillId="0" borderId="3" xfId="66" applyNumberFormat="1" applyFont="1" applyFill="1" applyBorder="1" applyAlignment="1">
      <alignment horizontal="center" vertical="center"/>
    </xf>
    <xf numFmtId="0" fontId="8" fillId="0" borderId="0" xfId="70" applyFont="1" applyAlignment="1">
      <alignment horizontal="center" vertical="center" wrapText="1"/>
    </xf>
    <xf numFmtId="183" fontId="9" fillId="0" borderId="3" xfId="66" applyNumberFormat="1" applyFont="1" applyBorder="1" applyAlignment="1">
      <alignment horizontal="center" vertical="center"/>
    </xf>
    <xf numFmtId="183" fontId="5" fillId="0" borderId="0" xfId="66" applyNumberFormat="1" applyFont="1" applyFill="1" applyBorder="1" applyAlignment="1">
      <alignment horizontal="center" vertical="center"/>
    </xf>
    <xf numFmtId="183" fontId="4" fillId="0" borderId="1" xfId="70" applyNumberFormat="1" applyFont="1" applyBorder="1" applyAlignment="1">
      <alignment horizontal="center" vertical="center"/>
    </xf>
    <xf numFmtId="183" fontId="4" fillId="0" borderId="0" xfId="70" applyNumberFormat="1" applyFont="1" applyAlignment="1">
      <alignment horizontal="center" vertical="center"/>
    </xf>
    <xf numFmtId="10" fontId="4" fillId="0" borderId="1" xfId="70" applyNumberFormat="1" applyFont="1" applyBorder="1" applyAlignment="1">
      <alignment horizontal="center" vertical="center"/>
    </xf>
    <xf numFmtId="10" fontId="4" fillId="0" borderId="0" xfId="70" applyNumberFormat="1" applyFont="1" applyAlignment="1">
      <alignment horizontal="center" vertical="center"/>
    </xf>
    <xf numFmtId="10" fontId="4" fillId="0" borderId="1" xfId="77" applyNumberFormat="1" applyFont="1" applyFill="1" applyBorder="1" applyAlignment="1">
      <alignment horizontal="center" vertical="center"/>
    </xf>
    <xf numFmtId="10" fontId="4" fillId="0" borderId="0" xfId="77" applyNumberFormat="1" applyFont="1" applyFill="1" applyBorder="1" applyAlignment="1">
      <alignment horizontal="center" vertical="center"/>
    </xf>
    <xf numFmtId="0" fontId="10" fillId="0" borderId="0" xfId="72" applyFont="1"/>
    <xf numFmtId="0" fontId="4" fillId="8" borderId="6" xfId="70" applyFont="1" applyFill="1" applyBorder="1" applyAlignment="1">
      <alignment horizontal="center" vertical="center" wrapText="1"/>
    </xf>
    <xf numFmtId="0" fontId="8" fillId="2" borderId="1" xfId="72" applyFont="1" applyFill="1" applyBorder="1" applyAlignment="1">
      <alignment horizontal="center" vertical="center"/>
    </xf>
    <xf numFmtId="0" fontId="8" fillId="2" borderId="1" xfId="72" applyFont="1" applyFill="1" applyBorder="1" applyAlignment="1">
      <alignment horizontal="center" vertical="center" wrapText="1"/>
    </xf>
    <xf numFmtId="10" fontId="7" fillId="0" borderId="1" xfId="70" applyNumberFormat="1" applyFont="1" applyBorder="1" applyAlignment="1">
      <alignment horizontal="center" vertical="center"/>
    </xf>
    <xf numFmtId="185" fontId="7" fillId="0" borderId="1" xfId="70" applyNumberFormat="1" applyFont="1" applyBorder="1" applyAlignment="1">
      <alignment horizontal="center" vertical="center"/>
    </xf>
    <xf numFmtId="183" fontId="7" fillId="0" borderId="1" xfId="70" applyNumberFormat="1" applyFont="1" applyBorder="1" applyAlignment="1">
      <alignment horizontal="center" vertical="center"/>
    </xf>
    <xf numFmtId="184" fontId="7" fillId="0" borderId="1" xfId="70" applyNumberFormat="1" applyFont="1" applyBorder="1" applyAlignment="1">
      <alignment horizontal="center" vertical="center"/>
    </xf>
    <xf numFmtId="10" fontId="5" fillId="0" borderId="1" xfId="70" applyNumberFormat="1" applyFont="1" applyBorder="1" applyAlignment="1">
      <alignment horizontal="center" vertical="center"/>
    </xf>
    <xf numFmtId="183" fontId="5" fillId="0" borderId="1" xfId="70" applyNumberFormat="1" applyFont="1" applyBorder="1" applyAlignment="1">
      <alignment horizontal="center" vertical="center"/>
    </xf>
    <xf numFmtId="184" fontId="5" fillId="0" borderId="1" xfId="70" applyNumberFormat="1" applyFont="1" applyBorder="1" applyAlignment="1">
      <alignment horizontal="center" vertical="center"/>
    </xf>
    <xf numFmtId="0" fontId="11" fillId="0" borderId="0" xfId="70" applyFont="1"/>
    <xf numFmtId="183" fontId="7" fillId="8" borderId="3" xfId="66" applyNumberFormat="1" applyFont="1" applyFill="1" applyBorder="1" applyAlignment="1">
      <alignment horizontal="center" vertical="center"/>
    </xf>
    <xf numFmtId="184" fontId="7" fillId="0" borderId="3" xfId="3" applyNumberFormat="1" applyFont="1" applyFill="1" applyBorder="1" applyAlignment="1">
      <alignment horizontal="center" vertical="center"/>
    </xf>
    <xf numFmtId="10" fontId="12" fillId="9" borderId="1" xfId="70" applyNumberFormat="1" applyFont="1" applyFill="1" applyBorder="1" applyAlignment="1">
      <alignment horizontal="center" vertical="center"/>
    </xf>
    <xf numFmtId="183" fontId="12" fillId="9" borderId="1" xfId="70" applyNumberFormat="1" applyFont="1" applyFill="1" applyBorder="1" applyAlignment="1">
      <alignment horizontal="center" vertical="center"/>
    </xf>
    <xf numFmtId="184" fontId="12" fillId="9" borderId="1" xfId="70" applyNumberFormat="1" applyFont="1" applyFill="1" applyBorder="1" applyAlignment="1">
      <alignment horizontal="center" vertical="center"/>
    </xf>
    <xf numFmtId="10" fontId="12" fillId="0" borderId="1" xfId="70" applyNumberFormat="1" applyFont="1" applyBorder="1" applyAlignment="1">
      <alignment horizontal="center" vertical="center"/>
    </xf>
    <xf numFmtId="186" fontId="5" fillId="0" borderId="3" xfId="66" applyNumberFormat="1" applyFont="1" applyBorder="1" applyAlignment="1">
      <alignment horizontal="center" vertical="center"/>
    </xf>
    <xf numFmtId="186" fontId="9" fillId="0" borderId="3" xfId="66" applyNumberFormat="1" applyFont="1" applyBorder="1" applyAlignment="1">
      <alignment horizontal="center" vertical="center"/>
    </xf>
    <xf numFmtId="183" fontId="5" fillId="6" borderId="0" xfId="66" applyNumberFormat="1" applyFont="1" applyFill="1" applyBorder="1" applyAlignment="1">
      <alignment horizontal="center" vertical="center"/>
    </xf>
    <xf numFmtId="0" fontId="5" fillId="6" borderId="0" xfId="71" applyFont="1" applyFill="1"/>
    <xf numFmtId="0" fontId="5" fillId="6" borderId="0" xfId="72" applyFont="1" applyFill="1"/>
    <xf numFmtId="0" fontId="4" fillId="10" borderId="4" xfId="70" applyFont="1" applyFill="1" applyBorder="1" applyAlignment="1">
      <alignment horizontal="center" vertical="center" wrapText="1"/>
    </xf>
    <xf numFmtId="0" fontId="4" fillId="10" borderId="5" xfId="70" applyFont="1" applyFill="1" applyBorder="1" applyAlignment="1">
      <alignment horizontal="center" vertical="center" wrapText="1"/>
    </xf>
    <xf numFmtId="9" fontId="8" fillId="2" borderId="4" xfId="77" applyFont="1" applyFill="1" applyBorder="1" applyAlignment="1">
      <alignment horizontal="center" vertical="center"/>
    </xf>
    <xf numFmtId="9" fontId="8" fillId="2" borderId="6" xfId="77" applyFont="1" applyFill="1" applyBorder="1" applyAlignment="1">
      <alignment horizontal="center" vertical="center"/>
    </xf>
    <xf numFmtId="9" fontId="8" fillId="2" borderId="3" xfId="77" applyFont="1" applyFill="1" applyBorder="1" applyAlignment="1">
      <alignment vertical="center"/>
    </xf>
    <xf numFmtId="10" fontId="4" fillId="0" borderId="1" xfId="3" applyNumberFormat="1" applyFont="1" applyFill="1" applyBorder="1" applyAlignment="1">
      <alignment horizontal="center" vertical="center"/>
    </xf>
    <xf numFmtId="0" fontId="10" fillId="6" borderId="0" xfId="72" applyFont="1" applyFill="1"/>
    <xf numFmtId="184" fontId="8" fillId="2" borderId="3" xfId="77" applyNumberFormat="1" applyFont="1" applyFill="1" applyBorder="1" applyAlignment="1">
      <alignment vertical="center"/>
    </xf>
    <xf numFmtId="185" fontId="5" fillId="0" borderId="1" xfId="70" applyNumberFormat="1" applyFont="1" applyBorder="1" applyAlignment="1">
      <alignment horizontal="center" vertical="center"/>
    </xf>
    <xf numFmtId="0" fontId="7" fillId="11" borderId="3" xfId="70" applyFont="1" applyFill="1" applyBorder="1" applyAlignment="1">
      <alignment horizontal="center" vertical="center"/>
    </xf>
    <xf numFmtId="10" fontId="7" fillId="0" borderId="3" xfId="3" applyNumberFormat="1" applyFont="1" applyFill="1" applyBorder="1" applyAlignment="1">
      <alignment horizontal="center" vertical="center"/>
    </xf>
    <xf numFmtId="183" fontId="12" fillId="0" borderId="1" xfId="70" applyNumberFormat="1" applyFont="1" applyBorder="1" applyAlignment="1">
      <alignment horizontal="center" vertical="center"/>
    </xf>
    <xf numFmtId="10" fontId="13" fillId="0" borderId="1" xfId="70" applyNumberFormat="1" applyFont="1" applyBorder="1" applyAlignment="1">
      <alignment horizontal="center" vertical="center"/>
    </xf>
    <xf numFmtId="183" fontId="13" fillId="0" borderId="1" xfId="70" applyNumberFormat="1" applyFont="1" applyBorder="1" applyAlignment="1">
      <alignment horizontal="center" vertical="center"/>
    </xf>
    <xf numFmtId="0" fontId="14" fillId="0" borderId="0" xfId="0" applyFont="1"/>
    <xf numFmtId="0" fontId="15" fillId="0" borderId="0" xfId="0" applyFont="1" applyAlignment="1">
      <alignment horizontal="center"/>
    </xf>
    <xf numFmtId="0" fontId="16" fillId="2" borderId="1" xfId="72" applyFont="1" applyFill="1" applyBorder="1" applyAlignment="1">
      <alignment vertical="center" wrapText="1"/>
    </xf>
    <xf numFmtId="0" fontId="14" fillId="0" borderId="1" xfId="72" applyFont="1" applyBorder="1" applyAlignment="1">
      <alignment horizontal="center" vertical="center"/>
    </xf>
    <xf numFmtId="0" fontId="17" fillId="0" borderId="0" xfId="70" applyFont="1"/>
    <xf numFmtId="9" fontId="14" fillId="0" borderId="1" xfId="3" applyFont="1" applyBorder="1" applyAlignment="1">
      <alignment horizontal="center" vertical="center"/>
    </xf>
    <xf numFmtId="0" fontId="17" fillId="0" borderId="0" xfId="72" applyFont="1"/>
    <xf numFmtId="183" fontId="14" fillId="0" borderId="1" xfId="72" applyNumberFormat="1" applyFont="1" applyBorder="1" applyAlignment="1">
      <alignment horizontal="center" vertical="center"/>
    </xf>
    <xf numFmtId="10" fontId="18" fillId="0" borderId="1" xfId="77" applyNumberFormat="1" applyFont="1" applyFill="1" applyBorder="1" applyAlignment="1">
      <alignment horizontal="center" vertical="center"/>
    </xf>
    <xf numFmtId="0" fontId="16" fillId="0" borderId="0" xfId="72" applyFont="1" applyAlignment="1">
      <alignment vertical="center" wrapText="1"/>
    </xf>
    <xf numFmtId="10" fontId="18" fillId="0" borderId="0" xfId="77" applyNumberFormat="1" applyFont="1" applyFill="1" applyBorder="1" applyAlignment="1">
      <alignment horizontal="center" vertical="center"/>
    </xf>
    <xf numFmtId="0" fontId="19" fillId="0" borderId="0" xfId="72" applyFont="1"/>
    <xf numFmtId="0" fontId="20" fillId="2" borderId="2" xfId="71" applyFont="1" applyFill="1" applyBorder="1" applyAlignment="1">
      <alignment vertical="center" wrapText="1"/>
    </xf>
    <xf numFmtId="0" fontId="20" fillId="2" borderId="2" xfId="70" applyFont="1" applyFill="1" applyBorder="1" applyAlignment="1">
      <alignment horizontal="center" vertical="center" wrapText="1"/>
    </xf>
    <xf numFmtId="0" fontId="20" fillId="5" borderId="2" xfId="70" applyFont="1" applyFill="1" applyBorder="1" applyAlignment="1">
      <alignment horizontal="center" vertical="center" wrapText="1"/>
    </xf>
    <xf numFmtId="0" fontId="20" fillId="2" borderId="2" xfId="70" applyFont="1" applyFill="1" applyBorder="1" applyAlignment="1">
      <alignment vertical="center" wrapText="1"/>
    </xf>
    <xf numFmtId="0" fontId="17" fillId="0" borderId="3" xfId="71" applyFont="1" applyBorder="1" applyAlignment="1">
      <alignment horizontal="center" vertical="center"/>
    </xf>
    <xf numFmtId="183" fontId="17" fillId="7" borderId="3" xfId="66" applyNumberFormat="1" applyFont="1" applyFill="1" applyBorder="1" applyAlignment="1">
      <alignment horizontal="center" vertical="center"/>
    </xf>
    <xf numFmtId="183" fontId="17" fillId="0" borderId="3" xfId="66" applyNumberFormat="1" applyFont="1" applyBorder="1" applyAlignment="1">
      <alignment horizontal="center" vertical="center"/>
    </xf>
    <xf numFmtId="183" fontId="17" fillId="4" borderId="3" xfId="66" applyNumberFormat="1" applyFont="1" applyFill="1" applyBorder="1" applyAlignment="1">
      <alignment horizontal="center" vertical="center"/>
    </xf>
    <xf numFmtId="183" fontId="21" fillId="0" borderId="3" xfId="66" applyNumberFormat="1" applyFont="1" applyBorder="1" applyAlignment="1">
      <alignment horizontal="center" vertical="center"/>
    </xf>
    <xf numFmtId="0" fontId="17" fillId="0" borderId="0" xfId="71" applyFont="1"/>
    <xf numFmtId="179" fontId="17" fillId="0" borderId="0" xfId="66" applyFont="1" applyFill="1" applyBorder="1" applyAlignment="1">
      <alignment horizontal="center" vertical="center"/>
    </xf>
    <xf numFmtId="183" fontId="17" fillId="0" borderId="0" xfId="71" applyNumberFormat="1" applyFont="1"/>
    <xf numFmtId="4" fontId="17" fillId="0" borderId="0" xfId="71" applyNumberFormat="1" applyFont="1"/>
    <xf numFmtId="0" fontId="22" fillId="10" borderId="4" xfId="70" applyFont="1" applyFill="1" applyBorder="1" applyAlignment="1">
      <alignment horizontal="center" vertical="center" wrapText="1"/>
    </xf>
    <xf numFmtId="0" fontId="22" fillId="10" borderId="5" xfId="70" applyFont="1" applyFill="1" applyBorder="1" applyAlignment="1">
      <alignment horizontal="center" vertical="center" wrapText="1"/>
    </xf>
    <xf numFmtId="0" fontId="20" fillId="0" borderId="0" xfId="70" applyFont="1" applyAlignment="1">
      <alignment horizontal="center" vertical="center" wrapText="1"/>
    </xf>
    <xf numFmtId="183" fontId="17" fillId="0" borderId="0" xfId="66" applyNumberFormat="1" applyFont="1" applyFill="1" applyBorder="1" applyAlignment="1">
      <alignment horizontal="center" vertical="center"/>
    </xf>
    <xf numFmtId="183" fontId="22" fillId="0" borderId="1" xfId="70" applyNumberFormat="1" applyFont="1" applyBorder="1" applyAlignment="1">
      <alignment horizontal="center" vertical="center"/>
    </xf>
    <xf numFmtId="183" fontId="22" fillId="0" borderId="0" xfId="70" applyNumberFormat="1" applyFont="1" applyAlignment="1">
      <alignment horizontal="center" vertical="center"/>
    </xf>
    <xf numFmtId="10" fontId="22" fillId="0" borderId="1" xfId="70" applyNumberFormat="1" applyFont="1" applyBorder="1" applyAlignment="1">
      <alignment horizontal="center" vertical="center"/>
    </xf>
    <xf numFmtId="10" fontId="22" fillId="0" borderId="0" xfId="70" applyNumberFormat="1" applyFont="1" applyAlignment="1">
      <alignment horizontal="center" vertical="center"/>
    </xf>
    <xf numFmtId="10" fontId="22" fillId="0" borderId="1" xfId="77" applyNumberFormat="1" applyFont="1" applyFill="1" applyBorder="1" applyAlignment="1">
      <alignment horizontal="center" vertical="center"/>
    </xf>
    <xf numFmtId="10" fontId="22" fillId="0" borderId="0" xfId="77" applyNumberFormat="1" applyFont="1" applyFill="1" applyBorder="1" applyAlignment="1">
      <alignment horizontal="center" vertical="center"/>
    </xf>
    <xf numFmtId="0" fontId="23" fillId="6" borderId="0" xfId="72" applyFont="1" applyFill="1"/>
    <xf numFmtId="0" fontId="20" fillId="0" borderId="0" xfId="70" applyFont="1" applyAlignment="1">
      <alignment vertical="center" wrapText="1"/>
    </xf>
    <xf numFmtId="0" fontId="19" fillId="0" borderId="0" xfId="0" applyFont="1" applyAlignment="1">
      <alignment horizontal="center"/>
    </xf>
    <xf numFmtId="0" fontId="24" fillId="0" borderId="0" xfId="70" applyFont="1"/>
    <xf numFmtId="9" fontId="20" fillId="2" borderId="4" xfId="77" applyFont="1" applyFill="1" applyBorder="1" applyAlignment="1">
      <alignment horizontal="center" vertical="center"/>
    </xf>
    <xf numFmtId="9" fontId="20" fillId="2" borderId="6" xfId="77" applyFont="1" applyFill="1" applyBorder="1" applyAlignment="1">
      <alignment horizontal="center" vertical="center"/>
    </xf>
    <xf numFmtId="9" fontId="20" fillId="2" borderId="3" xfId="77" applyFont="1" applyFill="1" applyBorder="1" applyAlignment="1">
      <alignment horizontal="center" vertical="center"/>
    </xf>
    <xf numFmtId="0" fontId="20" fillId="2" borderId="3" xfId="70" applyFont="1" applyFill="1" applyBorder="1" applyAlignment="1">
      <alignment horizontal="center" vertical="center" wrapText="1"/>
    </xf>
    <xf numFmtId="183" fontId="17" fillId="0" borderId="3" xfId="66" applyNumberFormat="1" applyFont="1" applyFill="1" applyBorder="1" applyAlignment="1">
      <alignment horizontal="center" vertical="center"/>
    </xf>
    <xf numFmtId="183" fontId="19" fillId="0" borderId="3" xfId="66" applyNumberFormat="1" applyFont="1" applyFill="1" applyBorder="1" applyAlignment="1">
      <alignment horizontal="center" vertical="center"/>
    </xf>
    <xf numFmtId="183" fontId="19" fillId="12" borderId="3" xfId="66" applyNumberFormat="1" applyFont="1" applyFill="1" applyBorder="1" applyAlignment="1">
      <alignment horizontal="center" vertical="center"/>
    </xf>
    <xf numFmtId="9" fontId="19" fillId="0" borderId="3" xfId="3" applyFont="1" applyFill="1" applyBorder="1" applyAlignment="1">
      <alignment horizontal="center" vertical="center"/>
    </xf>
    <xf numFmtId="0" fontId="20" fillId="2" borderId="7" xfId="72" applyFont="1" applyFill="1" applyBorder="1" applyAlignment="1">
      <alignment horizontal="center" vertical="center"/>
    </xf>
    <xf numFmtId="10" fontId="17" fillId="0" borderId="1" xfId="70" applyNumberFormat="1" applyFont="1" applyBorder="1" applyAlignment="1">
      <alignment horizontal="center" vertical="center"/>
    </xf>
    <xf numFmtId="185" fontId="17" fillId="0" borderId="1" xfId="70" applyNumberFormat="1" applyFont="1" applyBorder="1" applyAlignment="1">
      <alignment horizontal="center" vertical="center"/>
    </xf>
    <xf numFmtId="10" fontId="25" fillId="0" borderId="1" xfId="70" applyNumberFormat="1" applyFont="1" applyBorder="1" applyAlignment="1">
      <alignment horizontal="center" vertical="center"/>
    </xf>
    <xf numFmtId="10" fontId="26" fillId="0" borderId="1" xfId="70" applyNumberFormat="1" applyFont="1" applyBorder="1" applyAlignment="1">
      <alignment horizontal="center" vertical="center"/>
    </xf>
    <xf numFmtId="10" fontId="19" fillId="0" borderId="3" xfId="3" applyNumberFormat="1" applyFont="1" applyFill="1" applyBorder="1" applyAlignment="1">
      <alignment horizontal="center" vertical="center"/>
    </xf>
    <xf numFmtId="0" fontId="20" fillId="2" borderId="1" xfId="72" applyFont="1" applyFill="1" applyBorder="1" applyAlignment="1">
      <alignment horizontal="center" vertical="center"/>
    </xf>
    <xf numFmtId="183" fontId="17" fillId="0" borderId="1" xfId="70" applyNumberFormat="1" applyFont="1" applyBorder="1" applyAlignment="1">
      <alignment horizontal="center" vertical="center"/>
    </xf>
    <xf numFmtId="183" fontId="25" fillId="0" borderId="1" xfId="70" applyNumberFormat="1" applyFont="1" applyBorder="1" applyAlignment="1">
      <alignment horizontal="center" vertical="center"/>
    </xf>
    <xf numFmtId="10" fontId="26" fillId="0" borderId="1" xfId="3" applyNumberFormat="1" applyFont="1" applyFill="1" applyBorder="1" applyAlignment="1">
      <alignment horizontal="center" vertical="center"/>
    </xf>
    <xf numFmtId="183" fontId="26" fillId="0" borderId="1" xfId="70" applyNumberFormat="1" applyFont="1" applyBorder="1" applyAlignment="1">
      <alignment horizontal="center" vertical="center"/>
    </xf>
    <xf numFmtId="0" fontId="27" fillId="0" borderId="0" xfId="0" applyFont="1" applyAlignment="1">
      <alignment vertical="center"/>
    </xf>
    <xf numFmtId="0" fontId="28" fillId="12" borderId="0" xfId="70" applyFont="1" applyFill="1" applyAlignment="1">
      <alignment vertical="center"/>
    </xf>
    <xf numFmtId="0" fontId="29" fillId="0" borderId="0" xfId="70" applyFont="1" applyAlignment="1">
      <alignment vertical="top"/>
    </xf>
    <xf numFmtId="0" fontId="30" fillId="0" borderId="0" xfId="70" applyFont="1"/>
    <xf numFmtId="0" fontId="31" fillId="0" borderId="0" xfId="70" applyFont="1" applyAlignment="1">
      <alignment horizontal="center" vertical="center" wrapText="1"/>
    </xf>
    <xf numFmtId="0" fontId="32" fillId="0" borderId="0" xfId="70" applyFont="1" applyAlignment="1">
      <alignment horizontal="center" vertical="center" wrapText="1"/>
    </xf>
    <xf numFmtId="0" fontId="16" fillId="2" borderId="3" xfId="71" applyFont="1" applyFill="1" applyBorder="1" applyAlignment="1">
      <alignment vertical="center" wrapText="1"/>
    </xf>
    <xf numFmtId="0" fontId="0" fillId="0" borderId="3" xfId="71" applyBorder="1" applyAlignment="1">
      <alignment horizontal="center" vertical="center"/>
    </xf>
    <xf numFmtId="0" fontId="33" fillId="0" borderId="0" xfId="70" applyFont="1" applyAlignment="1">
      <alignment horizontal="left" vertical="center" wrapText="1"/>
    </xf>
    <xf numFmtId="179" fontId="30" fillId="0" borderId="0" xfId="66" applyFont="1" applyFill="1" applyBorder="1" applyAlignment="1">
      <alignment horizontal="center" vertical="center"/>
    </xf>
    <xf numFmtId="9" fontId="0" fillId="0" borderId="3" xfId="71" applyNumberFormat="1" applyBorder="1" applyAlignment="1">
      <alignment horizontal="center" vertical="center"/>
    </xf>
    <xf numFmtId="0" fontId="30" fillId="0" borderId="0" xfId="71" applyFont="1"/>
    <xf numFmtId="0" fontId="33" fillId="0" borderId="0" xfId="71" applyFont="1" applyAlignment="1">
      <alignment horizontal="left" vertical="center" wrapText="1"/>
    </xf>
    <xf numFmtId="183" fontId="0" fillId="0" borderId="3" xfId="65" applyNumberFormat="1" applyFont="1" applyFill="1" applyBorder="1" applyAlignment="1">
      <alignment horizontal="right" vertical="center"/>
    </xf>
    <xf numFmtId="0" fontId="33" fillId="0" borderId="0" xfId="71" applyFont="1"/>
    <xf numFmtId="0" fontId="16" fillId="2" borderId="3" xfId="71" applyFont="1" applyFill="1" applyBorder="1" applyAlignment="1">
      <alignment horizontal="center" vertical="center" wrapText="1"/>
    </xf>
    <xf numFmtId="0" fontId="16" fillId="2" borderId="3" xfId="70" applyFont="1" applyFill="1" applyBorder="1" applyAlignment="1">
      <alignment horizontal="center" vertical="center" wrapText="1"/>
    </xf>
    <xf numFmtId="0" fontId="16" fillId="2" borderId="2" xfId="70" applyFont="1" applyFill="1" applyBorder="1" applyAlignment="1">
      <alignment horizontal="center" vertical="center" wrapText="1"/>
    </xf>
    <xf numFmtId="0" fontId="16" fillId="2" borderId="8" xfId="70" applyFont="1" applyFill="1" applyBorder="1" applyAlignment="1">
      <alignment horizontal="center" vertical="center" wrapText="1"/>
    </xf>
    <xf numFmtId="0" fontId="14" fillId="0" borderId="3" xfId="71" applyFont="1" applyBorder="1" applyAlignment="1">
      <alignment horizontal="center" vertical="center"/>
    </xf>
    <xf numFmtId="183" fontId="14" fillId="0" borderId="3" xfId="66" applyNumberFormat="1" applyFont="1" applyFill="1" applyBorder="1" applyAlignment="1">
      <alignment horizontal="center" vertical="center"/>
    </xf>
    <xf numFmtId="0" fontId="14" fillId="0" borderId="0" xfId="71" applyFont="1"/>
    <xf numFmtId="179" fontId="14" fillId="0" borderId="0" xfId="66" applyFont="1" applyFill="1" applyBorder="1" applyAlignment="1">
      <alignment horizontal="center" vertical="center"/>
    </xf>
    <xf numFmtId="183" fontId="15" fillId="0" borderId="3" xfId="66" applyNumberFormat="1" applyFont="1" applyFill="1" applyBorder="1" applyAlignment="1">
      <alignment horizontal="center" vertical="center"/>
    </xf>
    <xf numFmtId="0" fontId="33" fillId="0" borderId="0" xfId="71" applyFont="1" applyAlignment="1">
      <alignment horizontal="center"/>
    </xf>
    <xf numFmtId="0" fontId="31" fillId="0" borderId="0" xfId="70" applyFont="1" applyAlignment="1">
      <alignment vertical="center" wrapText="1"/>
    </xf>
    <xf numFmtId="179" fontId="30" fillId="0" borderId="0" xfId="66" applyFont="1" applyFill="1" applyBorder="1" applyAlignment="1">
      <alignment horizontal="center" vertical="center" wrapText="1"/>
    </xf>
    <xf numFmtId="183" fontId="30" fillId="0" borderId="0" xfId="71" applyNumberFormat="1" applyFont="1"/>
    <xf numFmtId="0" fontId="16" fillId="5" borderId="3" xfId="70" applyFont="1" applyFill="1" applyBorder="1" applyAlignment="1">
      <alignment horizontal="center" vertical="center" wrapText="1"/>
    </xf>
    <xf numFmtId="183" fontId="14" fillId="7" borderId="3" xfId="66" applyNumberFormat="1" applyFont="1" applyFill="1" applyBorder="1" applyAlignment="1">
      <alignment horizontal="center" vertical="center"/>
    </xf>
    <xf numFmtId="183" fontId="14" fillId="0" borderId="3" xfId="66" applyNumberFormat="1" applyFont="1" applyBorder="1" applyAlignment="1">
      <alignment horizontal="center" vertical="center"/>
    </xf>
    <xf numFmtId="183" fontId="14" fillId="0" borderId="2" xfId="66" applyNumberFormat="1" applyFont="1" applyBorder="1" applyAlignment="1">
      <alignment horizontal="center" vertical="center"/>
    </xf>
    <xf numFmtId="183" fontId="15" fillId="7" borderId="3" xfId="66" applyNumberFormat="1" applyFont="1" applyFill="1" applyBorder="1" applyAlignment="1">
      <alignment horizontal="center" vertical="center"/>
    </xf>
    <xf numFmtId="183" fontId="15" fillId="0" borderId="1" xfId="71" applyNumberFormat="1" applyFont="1" applyBorder="1"/>
    <xf numFmtId="0" fontId="15" fillId="7" borderId="1" xfId="70" applyFont="1" applyFill="1" applyBorder="1" applyAlignment="1">
      <alignment horizontal="center" vertical="center"/>
    </xf>
    <xf numFmtId="187" fontId="34" fillId="0" borderId="1" xfId="70" applyNumberFormat="1" applyFont="1" applyBorder="1" applyAlignment="1">
      <alignment horizontal="center" vertical="center"/>
    </xf>
    <xf numFmtId="4" fontId="14" fillId="0" borderId="0" xfId="71" applyNumberFormat="1" applyFont="1"/>
    <xf numFmtId="10" fontId="34" fillId="0" borderId="1" xfId="70" applyNumberFormat="1" applyFont="1" applyBorder="1" applyAlignment="1">
      <alignment horizontal="center" vertical="center"/>
    </xf>
    <xf numFmtId="10" fontId="34" fillId="0" borderId="1" xfId="77" applyNumberFormat="1" applyFont="1" applyFill="1" applyBorder="1" applyAlignment="1">
      <alignment horizontal="center" vertical="center"/>
    </xf>
    <xf numFmtId="183" fontId="0" fillId="0" borderId="0" xfId="0" applyNumberFormat="1"/>
    <xf numFmtId="176" fontId="14" fillId="0" borderId="0" xfId="1" applyFont="1" applyFill="1"/>
    <xf numFmtId="0" fontId="2" fillId="0" borderId="0" xfId="0" applyFont="1" applyAlignment="1">
      <alignment horizontal="center" vertical="center" wrapText="1"/>
    </xf>
    <xf numFmtId="0" fontId="35" fillId="13" borderId="1" xfId="0" applyFont="1" applyFill="1" applyBorder="1"/>
    <xf numFmtId="0" fontId="35" fillId="13" borderId="1" xfId="0" applyFont="1" applyFill="1" applyBorder="1" applyAlignment="1">
      <alignment horizontal="center"/>
    </xf>
    <xf numFmtId="0" fontId="35" fillId="13" borderId="1" xfId="0" applyFont="1" applyFill="1" applyBorder="1" applyAlignment="1">
      <alignment horizontal="center" vertical="center"/>
    </xf>
    <xf numFmtId="0" fontId="36" fillId="0" borderId="0" xfId="0" applyFont="1"/>
    <xf numFmtId="0" fontId="3" fillId="3" borderId="9"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xf>
    <xf numFmtId="0" fontId="37" fillId="0" borderId="1" xfId="0" applyFont="1" applyBorder="1" applyAlignment="1">
      <alignment horizontal="left" wrapText="1" indent="1"/>
    </xf>
    <xf numFmtId="0" fontId="0" fillId="0" borderId="1" xfId="0" applyBorder="1" applyAlignment="1">
      <alignment vertical="center"/>
    </xf>
    <xf numFmtId="0" fontId="0" fillId="0" borderId="1" xfId="0" applyBorder="1" applyAlignment="1">
      <alignment horizontal="center" vertical="center"/>
    </xf>
    <xf numFmtId="182" fontId="0" fillId="0" borderId="1" xfId="53" applyNumberFormat="1" applyFont="1" applyBorder="1" applyAlignment="1">
      <alignment vertical="center"/>
    </xf>
    <xf numFmtId="0" fontId="38" fillId="3" borderId="1" xfId="0" applyFont="1" applyFill="1" applyBorder="1"/>
    <xf numFmtId="0" fontId="3" fillId="3" borderId="1" xfId="0" applyFont="1" applyFill="1" applyBorder="1"/>
    <xf numFmtId="182" fontId="3" fillId="3" borderId="1" xfId="0" applyNumberFormat="1" applyFont="1" applyFill="1" applyBorder="1"/>
    <xf numFmtId="0" fontId="37" fillId="0" borderId="1" xfId="0" applyFont="1" applyBorder="1" applyAlignment="1">
      <alignment horizontal="left" indent="1"/>
    </xf>
    <xf numFmtId="0" fontId="0" fillId="0" borderId="1" xfId="0" applyBorder="1"/>
    <xf numFmtId="182" fontId="0" fillId="0" borderId="1" xfId="53" applyNumberFormat="1" applyFont="1" applyBorder="1"/>
    <xf numFmtId="182" fontId="36" fillId="0" borderId="0" xfId="0" applyNumberFormat="1" applyFont="1"/>
    <xf numFmtId="0" fontId="0" fillId="3" borderId="1" xfId="0" applyFill="1" applyBorder="1"/>
    <xf numFmtId="0" fontId="0" fillId="0" borderId="1" xfId="0" applyBorder="1" applyAlignment="1">
      <alignment horizontal="right" vertical="center"/>
    </xf>
    <xf numFmtId="184" fontId="0" fillId="0" borderId="1" xfId="3" applyNumberFormat="1" applyFont="1" applyBorder="1" applyAlignment="1">
      <alignment horizontal="right" vertical="center"/>
    </xf>
    <xf numFmtId="182" fontId="0" fillId="0" borderId="1" xfId="53" applyNumberFormat="1" applyFont="1" applyBorder="1" applyAlignment="1">
      <alignment horizontal="right" vertical="center"/>
    </xf>
    <xf numFmtId="188" fontId="0" fillId="0" borderId="1" xfId="1" applyNumberFormat="1" applyFont="1" applyBorder="1" applyAlignment="1">
      <alignment horizontal="right" vertical="center"/>
    </xf>
    <xf numFmtId="184" fontId="0" fillId="0" borderId="1" xfId="3" applyNumberFormat="1" applyFont="1" applyBorder="1" applyAlignment="1">
      <alignment horizontal="center" vertical="center"/>
    </xf>
    <xf numFmtId="188" fontId="0" fillId="0" borderId="1" xfId="1" applyNumberFormat="1" applyFont="1" applyBorder="1" applyAlignment="1">
      <alignment horizontal="right"/>
    </xf>
    <xf numFmtId="176" fontId="0" fillId="0" borderId="1" xfId="0" applyNumberFormat="1" applyBorder="1" applyAlignment="1">
      <alignment horizontal="right"/>
    </xf>
    <xf numFmtId="0" fontId="3" fillId="3" borderId="1" xfId="0" applyFont="1" applyFill="1" applyBorder="1" applyAlignment="1">
      <alignment horizontal="center"/>
    </xf>
    <xf numFmtId="176" fontId="3" fillId="3" borderId="1" xfId="0" applyNumberFormat="1" applyFont="1" applyFill="1" applyBorder="1"/>
    <xf numFmtId="0" fontId="3" fillId="3" borderId="1" xfId="0" applyFont="1" applyFill="1" applyBorder="1" applyAlignment="1">
      <alignment horizontal="center" wrapText="1"/>
    </xf>
    <xf numFmtId="0" fontId="0" fillId="0" borderId="1" xfId="0" applyBorder="1" applyAlignment="1">
      <alignment horizontal="center"/>
    </xf>
    <xf numFmtId="182" fontId="0" fillId="0" borderId="1" xfId="0" applyNumberFormat="1" applyBorder="1"/>
    <xf numFmtId="0" fontId="3" fillId="3" borderId="1" xfId="0" applyFont="1" applyFill="1" applyBorder="1" applyAlignment="1">
      <alignment horizontal="center" vertical="center"/>
    </xf>
    <xf numFmtId="182" fontId="3" fillId="3" borderId="1" xfId="53" applyNumberFormat="1" applyFont="1" applyFill="1" applyBorder="1"/>
    <xf numFmtId="0" fontId="38" fillId="3" borderId="9" xfId="0" applyFont="1" applyFill="1" applyBorder="1" applyAlignment="1">
      <alignment horizontal="left"/>
    </xf>
    <xf numFmtId="0" fontId="38" fillId="3" borderId="10" xfId="0" applyFont="1" applyFill="1" applyBorder="1" applyAlignment="1">
      <alignment horizontal="left"/>
    </xf>
    <xf numFmtId="182" fontId="3" fillId="3" borderId="10" xfId="0" applyNumberFormat="1" applyFont="1" applyFill="1" applyBorder="1"/>
    <xf numFmtId="0" fontId="3" fillId="3" borderId="9" xfId="0" applyFont="1" applyFill="1" applyBorder="1" applyAlignment="1">
      <alignment horizontal="center" wrapText="1"/>
    </xf>
    <xf numFmtId="0" fontId="3" fillId="3" borderId="10" xfId="0" applyFont="1" applyFill="1" applyBorder="1" applyAlignment="1">
      <alignment horizontal="center" wrapText="1"/>
    </xf>
    <xf numFmtId="0" fontId="3" fillId="3" borderId="11" xfId="0" applyFont="1" applyFill="1" applyBorder="1" applyAlignment="1">
      <alignment horizontal="center" wrapText="1"/>
    </xf>
    <xf numFmtId="182" fontId="36" fillId="0" borderId="0" xfId="53" applyNumberFormat="1" applyFont="1"/>
    <xf numFmtId="0" fontId="39" fillId="0" borderId="0" xfId="0" applyFont="1" applyAlignment="1">
      <alignment horizontal="center" vertical="center" wrapText="1"/>
    </xf>
    <xf numFmtId="0" fontId="35" fillId="13" borderId="9" xfId="0" applyFont="1" applyFill="1" applyBorder="1" applyAlignment="1">
      <alignment horizontal="center" vertical="center"/>
    </xf>
    <xf numFmtId="0" fontId="35" fillId="13" borderId="11" xfId="0" applyFont="1" applyFill="1" applyBorder="1" applyAlignment="1">
      <alignment horizontal="center" vertical="center"/>
    </xf>
    <xf numFmtId="182" fontId="0" fillId="0" borderId="1" xfId="0" applyNumberFormat="1" applyBorder="1" applyAlignment="1">
      <alignment vertical="center"/>
    </xf>
    <xf numFmtId="189" fontId="36" fillId="0" borderId="0" xfId="1" applyNumberFormat="1" applyFont="1"/>
    <xf numFmtId="182" fontId="0" fillId="0" borderId="1" xfId="53" applyNumberFormat="1" applyFont="1" applyBorder="1" applyAlignment="1">
      <alignment horizontal="center" vertical="center"/>
    </xf>
    <xf numFmtId="182" fontId="0" fillId="0" borderId="1" xfId="53" applyNumberFormat="1" applyFont="1" applyBorder="1" applyAlignment="1">
      <alignment horizontal="center"/>
    </xf>
    <xf numFmtId="176" fontId="0" fillId="0" borderId="1" xfId="53" applyFont="1" applyBorder="1" applyAlignment="1">
      <alignment horizontal="center"/>
    </xf>
    <xf numFmtId="0" fontId="0" fillId="0" borderId="12" xfId="0" applyBorder="1" applyAlignment="1">
      <alignment vertical="center"/>
    </xf>
    <xf numFmtId="182" fontId="0" fillId="0" borderId="0" xfId="0" applyNumberFormat="1"/>
    <xf numFmtId="182" fontId="35" fillId="13" borderId="1" xfId="0" applyNumberFormat="1" applyFont="1" applyFill="1" applyBorder="1"/>
    <xf numFmtId="182" fontId="0" fillId="0" borderId="0" xfId="0" applyNumberFormat="1" applyAlignment="1">
      <alignment vertical="center"/>
    </xf>
    <xf numFmtId="182" fontId="0" fillId="0" borderId="0" xfId="53" applyNumberFormat="1" applyFont="1" applyBorder="1" applyAlignment="1">
      <alignment vertical="center"/>
    </xf>
    <xf numFmtId="0" fontId="0" fillId="0" borderId="13" xfId="0" applyBorder="1"/>
    <xf numFmtId="182" fontId="0" fillId="0" borderId="13" xfId="0" applyNumberFormat="1" applyBorder="1"/>
    <xf numFmtId="0" fontId="35" fillId="13" borderId="7" xfId="0" applyFont="1" applyFill="1" applyBorder="1" applyAlignment="1">
      <alignment horizontal="center"/>
    </xf>
    <xf numFmtId="182" fontId="35" fillId="13" borderId="7" xfId="0" applyNumberFormat="1" applyFont="1" applyFill="1" applyBorder="1"/>
    <xf numFmtId="0" fontId="35" fillId="0" borderId="0" xfId="0" applyFont="1"/>
    <xf numFmtId="189" fontId="40" fillId="0" borderId="0" xfId="1" applyNumberFormat="1" applyFont="1" applyBorder="1"/>
    <xf numFmtId="176" fontId="0" fillId="0" borderId="0" xfId="53" applyFont="1" applyBorder="1" applyAlignment="1">
      <alignment horizontal="center"/>
    </xf>
    <xf numFmtId="182" fontId="0" fillId="0" borderId="0" xfId="53" applyNumberFormat="1" applyFont="1" applyFill="1" applyBorder="1"/>
    <xf numFmtId="189" fontId="0" fillId="0" borderId="0" xfId="1" applyNumberFormat="1" applyFont="1" applyBorder="1"/>
    <xf numFmtId="0" fontId="3" fillId="0" borderId="0" xfId="0" applyFont="1"/>
    <xf numFmtId="190" fontId="14" fillId="0" borderId="0" xfId="0" applyNumberFormat="1" applyFont="1"/>
    <xf numFmtId="0" fontId="35" fillId="13" borderId="9" xfId="0" applyFont="1" applyFill="1" applyBorder="1" applyAlignment="1">
      <alignment horizontal="center"/>
    </xf>
    <xf numFmtId="0" fontId="35" fillId="13" borderId="11" xfId="0" applyFont="1" applyFill="1" applyBorder="1" applyAlignment="1">
      <alignment horizontal="center"/>
    </xf>
    <xf numFmtId="0" fontId="35" fillId="13" borderId="13" xfId="0" applyFont="1" applyFill="1" applyBorder="1" applyAlignment="1">
      <alignment horizontal="center" wrapText="1"/>
    </xf>
    <xf numFmtId="0" fontId="35" fillId="13" borderId="14" xfId="0" applyFont="1" applyFill="1" applyBorder="1" applyAlignment="1">
      <alignment horizontal="center" vertical="center" wrapText="1"/>
    </xf>
    <xf numFmtId="0" fontId="35" fillId="13" borderId="7" xfId="0" applyFont="1" applyFill="1" applyBorder="1" applyAlignment="1">
      <alignment horizontal="center" wrapText="1"/>
    </xf>
    <xf numFmtId="0" fontId="35" fillId="13" borderId="15" xfId="0" applyFont="1" applyFill="1" applyBorder="1" applyAlignment="1">
      <alignment horizontal="center" vertical="center" wrapText="1"/>
    </xf>
    <xf numFmtId="176" fontId="0" fillId="0" borderId="1" xfId="0" applyNumberFormat="1" applyBorder="1" applyAlignment="1">
      <alignment vertical="center"/>
    </xf>
    <xf numFmtId="182" fontId="0" fillId="0" borderId="1" xfId="0" applyNumberFormat="1" applyBorder="1" applyAlignment="1">
      <alignment horizontal="center" vertical="center"/>
    </xf>
    <xf numFmtId="182" fontId="0" fillId="0" borderId="0" xfId="53" applyNumberFormat="1" applyFont="1" applyBorder="1" applyAlignment="1">
      <alignment horizontal="center" vertical="center"/>
    </xf>
    <xf numFmtId="182" fontId="0" fillId="0" borderId="0" xfId="0" applyNumberFormat="1" applyAlignment="1">
      <alignment horizontal="center" vertical="center"/>
    </xf>
    <xf numFmtId="176" fontId="0" fillId="0" borderId="0" xfId="0" applyNumberFormat="1"/>
    <xf numFmtId="3" fontId="0" fillId="0" borderId="0" xfId="0" applyNumberFormat="1"/>
    <xf numFmtId="9" fontId="0" fillId="0" borderId="1" xfId="3" applyFont="1" applyBorder="1"/>
    <xf numFmtId="0" fontId="0" fillId="3" borderId="1" xfId="0" applyFill="1" applyBorder="1" applyAlignment="1">
      <alignment horizontal="center" vertical="center"/>
    </xf>
    <xf numFmtId="182" fontId="3" fillId="3" borderId="1" xfId="53" applyNumberFormat="1" applyFont="1" applyFill="1" applyBorder="1" applyAlignment="1"/>
    <xf numFmtId="0" fontId="38" fillId="3" borderId="9" xfId="0" applyFont="1" applyFill="1" applyBorder="1" applyAlignment="1">
      <alignment horizontal="center" wrapText="1"/>
    </xf>
    <xf numFmtId="0" fontId="38" fillId="3" borderId="10" xfId="0" applyFont="1" applyFill="1" applyBorder="1" applyAlignment="1">
      <alignment horizontal="center" wrapText="1"/>
    </xf>
    <xf numFmtId="0" fontId="38" fillId="3" borderId="11" xfId="0" applyFont="1" applyFill="1" applyBorder="1" applyAlignment="1">
      <alignment horizontal="center" wrapText="1"/>
    </xf>
    <xf numFmtId="0" fontId="3" fillId="0" borderId="1" xfId="0" applyFont="1" applyBorder="1" applyAlignment="1">
      <alignment horizontal="center" vertical="center"/>
    </xf>
    <xf numFmtId="9" fontId="3" fillId="0" borderId="1" xfId="3" applyFont="1" applyFill="1" applyBorder="1"/>
    <xf numFmtId="182" fontId="3" fillId="0" borderId="1" xfId="53" applyNumberFormat="1" applyFont="1" applyFill="1" applyBorder="1"/>
    <xf numFmtId="182" fontId="3" fillId="0" borderId="1" xfId="0" applyNumberFormat="1" applyFont="1" applyBorder="1"/>
    <xf numFmtId="0" fontId="38" fillId="3" borderId="1" xfId="0" applyFont="1" applyFill="1" applyBorder="1" applyAlignment="1">
      <alignment horizontal="left" wrapText="1"/>
    </xf>
    <xf numFmtId="9" fontId="3" fillId="3" borderId="1" xfId="3" applyFont="1" applyFill="1" applyBorder="1"/>
    <xf numFmtId="0" fontId="3" fillId="3" borderId="0" xfId="0" applyFont="1" applyFill="1" applyAlignment="1">
      <alignment horizontal="center" wrapText="1"/>
    </xf>
    <xf numFmtId="0" fontId="3" fillId="3" borderId="0" xfId="0" applyFont="1" applyFill="1" applyAlignment="1">
      <alignment horizontal="center" vertical="center"/>
    </xf>
    <xf numFmtId="9" fontId="3" fillId="3" borderId="0" xfId="3" applyFont="1" applyFill="1" applyBorder="1"/>
    <xf numFmtId="182" fontId="3" fillId="3" borderId="0" xfId="53" applyNumberFormat="1" applyFont="1" applyFill="1" applyBorder="1"/>
    <xf numFmtId="176" fontId="3" fillId="3" borderId="0" xfId="0" applyNumberFormat="1" applyFont="1" applyFill="1"/>
    <xf numFmtId="184" fontId="3" fillId="3" borderId="0" xfId="3" applyNumberFormat="1" applyFont="1" applyFill="1" applyBorder="1"/>
    <xf numFmtId="0" fontId="40" fillId="0" borderId="0" xfId="0" applyFont="1"/>
    <xf numFmtId="0" fontId="35" fillId="13" borderId="0" xfId="0" applyFont="1" applyFill="1" applyAlignment="1">
      <alignment horizontal="center"/>
    </xf>
    <xf numFmtId="0" fontId="38" fillId="3" borderId="1" xfId="0" applyFont="1" applyFill="1" applyBorder="1" applyAlignment="1">
      <alignment horizontal="left"/>
    </xf>
    <xf numFmtId="182" fontId="40" fillId="0" borderId="0" xfId="0" applyNumberFormat="1" applyFont="1"/>
    <xf numFmtId="188" fontId="0" fillId="0" borderId="1" xfId="1" applyNumberFormat="1" applyFont="1" applyBorder="1" applyAlignment="1">
      <alignment horizontal="center" vertical="center"/>
    </xf>
    <xf numFmtId="184" fontId="0" fillId="0" borderId="1" xfId="0" applyNumberFormat="1" applyBorder="1" applyAlignment="1">
      <alignment horizontal="center" vertical="center"/>
    </xf>
    <xf numFmtId="191" fontId="0" fillId="0" borderId="1" xfId="0" applyNumberFormat="1" applyBorder="1" applyAlignment="1">
      <alignment horizontal="center" vertical="center"/>
    </xf>
    <xf numFmtId="0" fontId="37" fillId="0" borderId="0" xfId="0" applyFont="1" applyAlignment="1">
      <alignment horizontal="left" wrapText="1" indent="1"/>
    </xf>
    <xf numFmtId="0" fontId="3" fillId="0" borderId="13" xfId="0" applyFont="1" applyBorder="1" applyAlignment="1">
      <alignment horizontal="center" vertical="center" wrapText="1"/>
    </xf>
    <xf numFmtId="182" fontId="3" fillId="0" borderId="13" xfId="53" applyNumberFormat="1" applyFont="1" applyFill="1" applyBorder="1" applyAlignment="1">
      <alignment vertical="center" wrapText="1"/>
    </xf>
    <xf numFmtId="0" fontId="38" fillId="3" borderId="1" xfId="0" applyFont="1" applyFill="1" applyBorder="1" applyAlignment="1">
      <alignment wrapText="1"/>
    </xf>
    <xf numFmtId="0" fontId="0" fillId="3" borderId="1" xfId="0" applyFill="1" applyBorder="1" applyAlignment="1">
      <alignment horizontal="center"/>
    </xf>
    <xf numFmtId="0" fontId="38" fillId="3" borderId="1" xfId="0" applyFont="1" applyFill="1" applyBorder="1" applyAlignment="1">
      <alignment horizontal="right" wrapText="1" indent="1"/>
    </xf>
    <xf numFmtId="9" fontId="0" fillId="0" borderId="1" xfId="0" applyNumberFormat="1" applyBorder="1"/>
    <xf numFmtId="191" fontId="0" fillId="0" borderId="1" xfId="53" applyNumberFormat="1" applyFont="1" applyBorder="1" applyAlignment="1">
      <alignment vertical="center"/>
    </xf>
    <xf numFmtId="176" fontId="0" fillId="0" borderId="1" xfId="0" applyNumberFormat="1" applyBorder="1"/>
    <xf numFmtId="188" fontId="0" fillId="0" borderId="1" xfId="0" applyNumberFormat="1" applyBorder="1"/>
    <xf numFmtId="0" fontId="3" fillId="0" borderId="1" xfId="0" applyFont="1" applyBorder="1"/>
    <xf numFmtId="182" fontId="0" fillId="0" borderId="0" xfId="53" applyNumberFormat="1" applyFont="1" applyBorder="1"/>
    <xf numFmtId="0" fontId="3" fillId="3" borderId="0" xfId="0" applyFont="1" applyFill="1"/>
    <xf numFmtId="191" fontId="3" fillId="3" borderId="0" xfId="53" applyNumberFormat="1" applyFont="1" applyFill="1" applyBorder="1"/>
    <xf numFmtId="0" fontId="0" fillId="0" borderId="0" xfId="0" applyAlignment="1">
      <alignment horizontal="left" wrapText="1"/>
    </xf>
    <xf numFmtId="176" fontId="0" fillId="0" borderId="1" xfId="53" applyFont="1" applyBorder="1"/>
    <xf numFmtId="9" fontId="0" fillId="0" borderId="1" xfId="3" applyFont="1" applyBorder="1" applyAlignment="1">
      <alignment horizontal="center" vertical="center"/>
    </xf>
    <xf numFmtId="3" fontId="0" fillId="0" borderId="1" xfId="0" applyNumberFormat="1" applyBorder="1"/>
    <xf numFmtId="0" fontId="37" fillId="0" borderId="1" xfId="0" applyFont="1" applyBorder="1" applyAlignment="1">
      <alignment horizontal="left" vertical="center" indent="1"/>
    </xf>
    <xf numFmtId="191" fontId="0" fillId="0" borderId="1" xfId="53" applyNumberFormat="1" applyFont="1" applyBorder="1"/>
    <xf numFmtId="176" fontId="0" fillId="0" borderId="1" xfId="53" applyFont="1" applyBorder="1" applyAlignment="1">
      <alignment vertical="center"/>
    </xf>
    <xf numFmtId="0" fontId="41" fillId="3" borderId="1" xfId="0" applyFont="1" applyFill="1" applyBorder="1" applyAlignment="1">
      <alignment horizontal="center" wrapText="1"/>
    </xf>
    <xf numFmtId="0" fontId="36" fillId="3" borderId="1" xfId="0" applyFont="1" applyFill="1" applyBorder="1"/>
    <xf numFmtId="182" fontId="41" fillId="3" borderId="1" xfId="0" applyNumberFormat="1" applyFont="1" applyFill="1" applyBorder="1"/>
    <xf numFmtId="0" fontId="16" fillId="0" borderId="0" xfId="0" applyFont="1"/>
    <xf numFmtId="0" fontId="35" fillId="2" borderId="0" xfId="0" applyFont="1" applyFill="1" applyAlignment="1">
      <alignment horizontal="center"/>
    </xf>
    <xf numFmtId="176" fontId="14" fillId="0" borderId="0" xfId="1" applyFont="1"/>
    <xf numFmtId="176" fontId="14" fillId="0" borderId="0" xfId="1" applyFont="1" applyBorder="1"/>
    <xf numFmtId="0" fontId="16" fillId="13" borderId="1" xfId="0" applyFont="1" applyFill="1" applyBorder="1" applyAlignment="1">
      <alignment horizontal="center" vertical="center" wrapText="1"/>
    </xf>
    <xf numFmtId="176" fontId="16" fillId="13" borderId="1" xfId="1" applyFont="1" applyFill="1" applyBorder="1" applyAlignment="1">
      <alignment horizontal="center" vertical="center" wrapText="1"/>
    </xf>
    <xf numFmtId="0" fontId="14" fillId="0" borderId="1" xfId="0" applyFont="1" applyBorder="1"/>
    <xf numFmtId="182" fontId="14" fillId="0" borderId="1" xfId="1" applyNumberFormat="1" applyFont="1" applyBorder="1"/>
    <xf numFmtId="182" fontId="15" fillId="0" borderId="1" xfId="1" applyNumberFormat="1" applyFont="1" applyBorder="1"/>
    <xf numFmtId="182" fontId="14" fillId="0" borderId="1" xfId="1" applyNumberFormat="1" applyFont="1" applyFill="1" applyBorder="1"/>
    <xf numFmtId="0" fontId="15" fillId="0" borderId="1" xfId="0" applyFont="1" applyBorder="1"/>
    <xf numFmtId="176" fontId="14" fillId="0" borderId="0" xfId="0" applyNumberFormat="1" applyFont="1"/>
    <xf numFmtId="176" fontId="15" fillId="0" borderId="0" xfId="1" applyFont="1"/>
    <xf numFmtId="0" fontId="16" fillId="0" borderId="0" xfId="0" applyFont="1" applyAlignment="1">
      <alignment horizontal="center"/>
    </xf>
    <xf numFmtId="0" fontId="15" fillId="0" borderId="0" xfId="0" applyFont="1"/>
    <xf numFmtId="0" fontId="0" fillId="0" borderId="0" xfId="0" applyAlignment="1">
      <alignment horizontal="left"/>
    </xf>
    <xf numFmtId="182" fontId="0" fillId="0" borderId="0" xfId="1" applyNumberFormat="1" applyFont="1"/>
    <xf numFmtId="176" fontId="0" fillId="0" borderId="0" xfId="1" applyFont="1"/>
    <xf numFmtId="9" fontId="0" fillId="0" borderId="0" xfId="3" applyFont="1"/>
    <xf numFmtId="4" fontId="17" fillId="0" borderId="16" xfId="0" applyNumberFormat="1" applyFont="1" applyBorder="1" applyAlignment="1">
      <alignment horizontal="right" vertical="center" wrapText="1"/>
    </xf>
    <xf numFmtId="4" fontId="17" fillId="0" borderId="17" xfId="0" applyNumberFormat="1" applyFont="1" applyBorder="1" applyAlignment="1">
      <alignment horizontal="right" vertical="center" wrapText="1"/>
    </xf>
    <xf numFmtId="4" fontId="26" fillId="14" borderId="17" xfId="0" applyNumberFormat="1" applyFont="1" applyFill="1" applyBorder="1" applyAlignment="1">
      <alignment horizontal="right" vertical="center" wrapText="1"/>
    </xf>
    <xf numFmtId="0" fontId="41" fillId="3" borderId="0" xfId="0" applyFont="1" applyFill="1" applyAlignment="1">
      <alignment horizontal="center"/>
    </xf>
    <xf numFmtId="0" fontId="35" fillId="0" borderId="0" xfId="0" applyFont="1" applyAlignment="1">
      <alignment horizontal="center"/>
    </xf>
    <xf numFmtId="0" fontId="35" fillId="2" borderId="0" xfId="0" applyFont="1" applyFill="1" applyAlignment="1">
      <alignment horizontal="center" vertical="center"/>
    </xf>
    <xf numFmtId="176" fontId="3" fillId="15" borderId="18" xfId="1" applyFont="1" applyFill="1" applyBorder="1" applyAlignment="1">
      <alignment horizontal="center"/>
    </xf>
    <xf numFmtId="0" fontId="35" fillId="2" borderId="18" xfId="0" applyFont="1" applyFill="1" applyBorder="1" applyAlignment="1">
      <alignment horizontal="center" vertical="center"/>
    </xf>
    <xf numFmtId="0" fontId="35" fillId="2" borderId="1" xfId="0" applyFont="1" applyFill="1" applyBorder="1"/>
    <xf numFmtId="176" fontId="0" fillId="0" borderId="1" xfId="1" applyFont="1" applyBorder="1"/>
    <xf numFmtId="176" fontId="0" fillId="0" borderId="13" xfId="1" applyFont="1" applyBorder="1"/>
    <xf numFmtId="176" fontId="35" fillId="2" borderId="19" xfId="1" applyFont="1" applyFill="1" applyBorder="1"/>
    <xf numFmtId="176" fontId="35" fillId="2" borderId="20" xfId="0" applyNumberFormat="1" applyFont="1" applyFill="1" applyBorder="1"/>
    <xf numFmtId="176" fontId="35" fillId="2" borderId="1" xfId="0" applyNumberFormat="1" applyFont="1" applyFill="1" applyBorder="1"/>
    <xf numFmtId="9" fontId="3" fillId="16" borderId="1" xfId="3" applyFont="1" applyFill="1" applyBorder="1"/>
    <xf numFmtId="184" fontId="3" fillId="16" borderId="1" xfId="3" applyNumberFormat="1" applyFont="1" applyFill="1" applyBorder="1"/>
    <xf numFmtId="0" fontId="3" fillId="15" borderId="18" xfId="0" applyFont="1" applyFill="1" applyBorder="1"/>
    <xf numFmtId="182" fontId="0" fillId="0" borderId="1" xfId="1" applyNumberFormat="1" applyFont="1" applyBorder="1"/>
    <xf numFmtId="192" fontId="0" fillId="0" borderId="0" xfId="1" applyNumberFormat="1" applyFont="1"/>
    <xf numFmtId="0" fontId="42" fillId="0" borderId="0" xfId="70" applyFont="1" applyAlignment="1">
      <alignment vertical="center"/>
    </xf>
    <xf numFmtId="0" fontId="32" fillId="3" borderId="0" xfId="70" applyFont="1" applyFill="1" applyAlignment="1">
      <alignment horizontal="center" vertical="center"/>
    </xf>
    <xf numFmtId="0" fontId="43" fillId="0" borderId="0" xfId="0" applyFont="1"/>
    <xf numFmtId="0" fontId="44" fillId="0" borderId="0" xfId="0" applyFont="1"/>
    <xf numFmtId="0" fontId="45" fillId="2" borderId="0" xfId="0" applyFont="1" applyFill="1"/>
    <xf numFmtId="176" fontId="45" fillId="2" borderId="0" xfId="0" applyNumberFormat="1" applyFont="1" applyFill="1"/>
    <xf numFmtId="193" fontId="45" fillId="2" borderId="0" xfId="0" applyNumberFormat="1" applyFont="1" applyFill="1"/>
    <xf numFmtId="0" fontId="44" fillId="0" borderId="0" xfId="0" applyFont="1" applyAlignment="1">
      <alignment horizontal="center"/>
    </xf>
    <xf numFmtId="0" fontId="44" fillId="0" borderId="21" xfId="0" applyFont="1" applyBorder="1" applyAlignment="1">
      <alignment horizontal="center"/>
    </xf>
    <xf numFmtId="0" fontId="44" fillId="0" borderId="1" xfId="0" applyFont="1" applyBorder="1"/>
    <xf numFmtId="0" fontId="43" fillId="0" borderId="1" xfId="0" applyFont="1" applyBorder="1"/>
    <xf numFmtId="0" fontId="46" fillId="17" borderId="1" xfId="0" applyFont="1" applyFill="1" applyBorder="1"/>
    <xf numFmtId="0" fontId="45" fillId="17" borderId="1" xfId="0" applyFont="1" applyFill="1" applyBorder="1"/>
    <xf numFmtId="176" fontId="45" fillId="17" borderId="1" xfId="0" applyNumberFormat="1" applyFont="1" applyFill="1" applyBorder="1"/>
    <xf numFmtId="193" fontId="45" fillId="17" borderId="1" xfId="0" applyNumberFormat="1" applyFont="1" applyFill="1" applyBorder="1"/>
    <xf numFmtId="186" fontId="46" fillId="17" borderId="1" xfId="0" applyNumberFormat="1" applyFont="1" applyFill="1" applyBorder="1"/>
    <xf numFmtId="3" fontId="43" fillId="0" borderId="1" xfId="1" applyNumberFormat="1" applyFont="1" applyBorder="1" applyAlignment="1">
      <alignment horizontal="center" vertical="center"/>
    </xf>
    <xf numFmtId="186" fontId="43" fillId="0" borderId="1" xfId="0" applyNumberFormat="1" applyFont="1" applyBorder="1"/>
    <xf numFmtId="0" fontId="43" fillId="0" borderId="1" xfId="0" applyFont="1" applyBorder="1" applyAlignment="1">
      <alignment horizontal="center"/>
    </xf>
    <xf numFmtId="9" fontId="43" fillId="0" borderId="1" xfId="3" applyFont="1" applyBorder="1" applyAlignment="1">
      <alignment horizontal="center"/>
    </xf>
    <xf numFmtId="0" fontId="46" fillId="17" borderId="1" xfId="0" applyFont="1" applyFill="1" applyBorder="1" applyAlignment="1">
      <alignment horizontal="center"/>
    </xf>
    <xf numFmtId="186" fontId="43" fillId="0" borderId="1" xfId="2" applyNumberFormat="1" applyFont="1" applyBorder="1"/>
    <xf numFmtId="9" fontId="46" fillId="17" borderId="1" xfId="3" applyFont="1" applyFill="1" applyBorder="1" applyAlignment="1">
      <alignment horizontal="center"/>
    </xf>
    <xf numFmtId="0" fontId="44" fillId="16" borderId="1" xfId="0" applyFont="1" applyFill="1" applyBorder="1"/>
    <xf numFmtId="176" fontId="44" fillId="16" borderId="1" xfId="0" applyNumberFormat="1" applyFont="1" applyFill="1" applyBorder="1"/>
    <xf numFmtId="193" fontId="44" fillId="16" borderId="1" xfId="0" applyNumberFormat="1" applyFont="1" applyFill="1" applyBorder="1"/>
    <xf numFmtId="194" fontId="44" fillId="16" borderId="1" xfId="0" applyNumberFormat="1" applyFont="1" applyFill="1" applyBorder="1"/>
    <xf numFmtId="0" fontId="44" fillId="17" borderId="1" xfId="0" applyFont="1" applyFill="1" applyBorder="1"/>
    <xf numFmtId="0" fontId="43" fillId="17" borderId="1" xfId="0" applyFont="1" applyFill="1" applyBorder="1"/>
    <xf numFmtId="176" fontId="43" fillId="17" borderId="1" xfId="0" applyNumberFormat="1" applyFont="1" applyFill="1" applyBorder="1"/>
    <xf numFmtId="193" fontId="43" fillId="17" borderId="1" xfId="0" applyNumberFormat="1" applyFont="1" applyFill="1" applyBorder="1"/>
    <xf numFmtId="186" fontId="44" fillId="17" borderId="1" xfId="0" applyNumberFormat="1" applyFont="1" applyFill="1" applyBorder="1"/>
    <xf numFmtId="0" fontId="43" fillId="0" borderId="1" xfId="0" applyFont="1" applyBorder="1" applyAlignment="1">
      <alignment horizontal="center" vertical="center"/>
    </xf>
    <xf numFmtId="193" fontId="43" fillId="0" borderId="1" xfId="0" applyNumberFormat="1" applyFont="1" applyBorder="1"/>
    <xf numFmtId="0" fontId="44" fillId="17" borderId="1" xfId="0" applyFont="1" applyFill="1" applyBorder="1" applyAlignment="1">
      <alignment horizontal="center" vertical="center"/>
    </xf>
    <xf numFmtId="193" fontId="44" fillId="17" borderId="1" xfId="0" applyNumberFormat="1" applyFont="1" applyFill="1" applyBorder="1"/>
    <xf numFmtId="176" fontId="44" fillId="17" borderId="1" xfId="0" applyNumberFormat="1" applyFont="1" applyFill="1" applyBorder="1"/>
    <xf numFmtId="184" fontId="44" fillId="17" borderId="1" xfId="0" applyNumberFormat="1" applyFont="1" applyFill="1" applyBorder="1" applyAlignment="1">
      <alignment horizontal="center"/>
    </xf>
    <xf numFmtId="3" fontId="43" fillId="0" borderId="1" xfId="1" applyNumberFormat="1" applyFont="1" applyBorder="1" applyAlignment="1">
      <alignment horizontal="center"/>
    </xf>
    <xf numFmtId="0" fontId="47" fillId="0" borderId="0" xfId="70" applyFont="1" applyAlignment="1">
      <alignment horizontal="center" vertical="center"/>
    </xf>
    <xf numFmtId="0" fontId="48" fillId="0" borderId="0" xfId="0" applyFont="1"/>
    <xf numFmtId="9" fontId="44" fillId="17" borderId="1" xfId="3" applyFont="1" applyFill="1" applyBorder="1" applyAlignment="1">
      <alignment horizontal="center"/>
    </xf>
    <xf numFmtId="3" fontId="43" fillId="0" borderId="1" xfId="0" applyNumberFormat="1" applyFont="1" applyBorder="1" applyAlignment="1">
      <alignment horizontal="center"/>
    </xf>
    <xf numFmtId="186" fontId="44" fillId="17" borderId="1" xfId="2" applyNumberFormat="1" applyFont="1" applyFill="1" applyBorder="1"/>
    <xf numFmtId="194" fontId="43" fillId="0" borderId="1" xfId="0" applyNumberFormat="1" applyFont="1" applyBorder="1"/>
    <xf numFmtId="0" fontId="44" fillId="16" borderId="13" xfId="0" applyFont="1" applyFill="1" applyBorder="1"/>
    <xf numFmtId="194" fontId="44" fillId="16" borderId="13" xfId="0" applyNumberFormat="1" applyFont="1" applyFill="1" applyBorder="1"/>
    <xf numFmtId="0" fontId="45" fillId="2" borderId="1" xfId="0" applyFont="1" applyFill="1" applyBorder="1" applyAlignment="1">
      <alignment horizontal="center"/>
    </xf>
    <xf numFmtId="0" fontId="47" fillId="2" borderId="1" xfId="0" applyFont="1" applyFill="1" applyBorder="1"/>
    <xf numFmtId="194" fontId="45" fillId="2" borderId="1" xfId="0" applyNumberFormat="1" applyFont="1" applyFill="1" applyBorder="1"/>
    <xf numFmtId="194" fontId="0" fillId="0" borderId="0" xfId="0" applyNumberFormat="1"/>
    <xf numFmtId="195" fontId="0" fillId="0" borderId="0" xfId="3" applyNumberFormat="1" applyFont="1"/>
    <xf numFmtId="10" fontId="0" fillId="0" borderId="0" xfId="3" applyNumberFormat="1" applyFont="1"/>
    <xf numFmtId="0" fontId="43" fillId="0" borderId="0" xfId="70" applyFont="1" applyAlignment="1">
      <alignment vertical="center"/>
    </xf>
    <xf numFmtId="0" fontId="14" fillId="0" borderId="0" xfId="70" applyFont="1" applyAlignment="1">
      <alignment vertical="center"/>
    </xf>
    <xf numFmtId="0" fontId="18" fillId="0" borderId="0" xfId="70" applyFont="1" applyAlignment="1">
      <alignment horizontal="center" vertical="center"/>
    </xf>
    <xf numFmtId="0" fontId="39" fillId="0" borderId="0" xfId="70" applyFont="1" applyAlignment="1">
      <alignment horizontal="left" vertical="center"/>
    </xf>
    <xf numFmtId="0" fontId="16" fillId="0" borderId="0" xfId="70" applyFont="1" applyAlignment="1">
      <alignment horizontal="center" vertical="center"/>
    </xf>
    <xf numFmtId="0" fontId="16" fillId="2" borderId="3" xfId="70" applyFont="1" applyFill="1" applyBorder="1" applyAlignment="1">
      <alignment horizontal="center" vertical="center"/>
    </xf>
    <xf numFmtId="0" fontId="16" fillId="2" borderId="2" xfId="70" applyFont="1" applyFill="1" applyBorder="1" applyAlignment="1">
      <alignment horizontal="center" vertical="center"/>
    </xf>
    <xf numFmtId="0" fontId="14" fillId="0" borderId="4" xfId="70" applyFont="1" applyBorder="1" applyAlignment="1">
      <alignment horizontal="center" vertical="center"/>
    </xf>
    <xf numFmtId="0" fontId="49" fillId="0" borderId="1" xfId="0" applyFont="1" applyBorder="1" applyAlignment="1">
      <alignment horizontal="justify" vertical="center"/>
    </xf>
    <xf numFmtId="186" fontId="14" fillId="0" borderId="1" xfId="1" applyNumberFormat="1" applyFont="1" applyFill="1" applyBorder="1" applyAlignment="1">
      <alignment horizontal="right" vertical="center"/>
    </xf>
    <xf numFmtId="0" fontId="14" fillId="0" borderId="1" xfId="70" applyFont="1" applyBorder="1" applyAlignment="1">
      <alignment horizontal="center" vertical="center"/>
    </xf>
    <xf numFmtId="184" fontId="14" fillId="0" borderId="1" xfId="3" applyNumberFormat="1" applyFont="1" applyFill="1" applyBorder="1" applyAlignment="1">
      <alignment horizontal="center" vertical="center"/>
    </xf>
    <xf numFmtId="0" fontId="14" fillId="0" borderId="22" xfId="70" applyFont="1" applyBorder="1" applyAlignment="1">
      <alignment horizontal="center" vertical="center"/>
    </xf>
    <xf numFmtId="184" fontId="14" fillId="0" borderId="1" xfId="3" applyNumberFormat="1" applyFont="1" applyFill="1" applyBorder="1" applyAlignment="1">
      <alignment horizontal="center"/>
    </xf>
    <xf numFmtId="3" fontId="49" fillId="0" borderId="0" xfId="70" applyNumberFormat="1" applyFont="1" applyAlignment="1">
      <alignment horizontal="center" vertical="center"/>
    </xf>
    <xf numFmtId="3" fontId="49" fillId="0" borderId="0" xfId="70" applyNumberFormat="1" applyFont="1" applyAlignment="1">
      <alignment horizontal="center" vertical="center" wrapText="1"/>
    </xf>
    <xf numFmtId="3" fontId="49" fillId="0" borderId="0" xfId="70" applyNumberFormat="1" applyFont="1" applyAlignment="1">
      <alignment horizontal="left" vertical="center" wrapText="1"/>
    </xf>
    <xf numFmtId="2" fontId="49" fillId="0" borderId="0" xfId="70" applyNumberFormat="1" applyFont="1" applyAlignment="1">
      <alignment horizontal="center" vertical="center" wrapText="1"/>
    </xf>
    <xf numFmtId="2" fontId="49" fillId="0" borderId="0" xfId="70" applyNumberFormat="1" applyFont="1" applyAlignment="1">
      <alignment horizontal="center" vertical="center"/>
    </xf>
    <xf numFmtId="0" fontId="16" fillId="2" borderId="1" xfId="70" applyFont="1" applyFill="1" applyBorder="1" applyAlignment="1">
      <alignment horizontal="center" vertical="center" wrapText="1"/>
    </xf>
    <xf numFmtId="0" fontId="49" fillId="0" borderId="8" xfId="70" applyFont="1" applyBorder="1" applyAlignment="1">
      <alignment horizontal="center" vertical="center"/>
    </xf>
    <xf numFmtId="0" fontId="49" fillId="0" borderId="23" xfId="70" applyFont="1" applyBorder="1" applyAlignment="1">
      <alignment horizontal="center" vertical="center"/>
    </xf>
    <xf numFmtId="176" fontId="14" fillId="0" borderId="7" xfId="1" applyFont="1" applyFill="1" applyBorder="1" applyAlignment="1">
      <alignment vertical="center"/>
    </xf>
    <xf numFmtId="182" fontId="49" fillId="0" borderId="24" xfId="1" applyNumberFormat="1" applyFont="1" applyFill="1" applyBorder="1" applyAlignment="1">
      <alignment horizontal="center" vertical="center"/>
    </xf>
    <xf numFmtId="182" fontId="49" fillId="0" borderId="25" xfId="1" applyNumberFormat="1" applyFont="1" applyFill="1" applyBorder="1" applyAlignment="1">
      <alignment horizontal="center" vertical="center"/>
    </xf>
    <xf numFmtId="176" fontId="14" fillId="0" borderId="0" xfId="1" applyFont="1" applyFill="1" applyAlignment="1">
      <alignment vertical="center"/>
    </xf>
    <xf numFmtId="0" fontId="49" fillId="0" borderId="3" xfId="70" applyFont="1" applyBorder="1" applyAlignment="1">
      <alignment horizontal="center" vertical="center"/>
    </xf>
    <xf numFmtId="0" fontId="49" fillId="0" borderId="4" xfId="70" applyFont="1" applyBorder="1" applyAlignment="1">
      <alignment horizontal="center" vertical="center"/>
    </xf>
    <xf numFmtId="182" fontId="14" fillId="0" borderId="11" xfId="1" applyNumberFormat="1" applyFont="1" applyFill="1" applyBorder="1" applyAlignment="1">
      <alignment vertical="center"/>
    </xf>
    <xf numFmtId="186" fontId="14" fillId="0" borderId="0" xfId="70" applyNumberFormat="1" applyFont="1" applyAlignment="1">
      <alignment vertical="center"/>
    </xf>
    <xf numFmtId="186" fontId="14" fillId="0" borderId="11" xfId="1" applyNumberFormat="1" applyFont="1" applyFill="1" applyBorder="1" applyAlignment="1">
      <alignment vertical="center"/>
    </xf>
    <xf numFmtId="186" fontId="14" fillId="0" borderId="1" xfId="1" applyNumberFormat="1" applyFont="1" applyFill="1" applyBorder="1" applyAlignment="1">
      <alignment vertical="center"/>
    </xf>
    <xf numFmtId="0" fontId="49" fillId="0" borderId="2" xfId="70" applyFont="1" applyBorder="1" applyAlignment="1">
      <alignment horizontal="center" vertical="center"/>
    </xf>
    <xf numFmtId="0" fontId="49" fillId="0" borderId="22" xfId="70" applyFont="1" applyBorder="1" applyAlignment="1">
      <alignment horizontal="center" vertical="center"/>
    </xf>
    <xf numFmtId="176" fontId="14" fillId="0" borderId="12" xfId="1" applyFont="1" applyFill="1" applyBorder="1" applyAlignment="1">
      <alignment vertical="center"/>
    </xf>
    <xf numFmtId="186" fontId="14" fillId="0" borderId="26" xfId="1" applyNumberFormat="1" applyFont="1" applyFill="1" applyBorder="1" applyAlignment="1">
      <alignment vertical="center"/>
    </xf>
    <xf numFmtId="186" fontId="14" fillId="0" borderId="13" xfId="1" applyNumberFormat="1" applyFont="1" applyFill="1" applyBorder="1" applyAlignment="1">
      <alignment vertical="center"/>
    </xf>
    <xf numFmtId="0" fontId="15" fillId="0" borderId="0" xfId="70" applyFont="1" applyAlignment="1">
      <alignment vertical="center"/>
    </xf>
    <xf numFmtId="0" fontId="50" fillId="11" borderId="1" xfId="70" applyFont="1" applyFill="1" applyBorder="1" applyAlignment="1">
      <alignment horizontal="center" vertical="center"/>
    </xf>
    <xf numFmtId="176" fontId="15" fillId="11" borderId="1" xfId="1" applyFont="1" applyFill="1" applyBorder="1" applyAlignment="1">
      <alignment vertical="center"/>
    </xf>
    <xf numFmtId="186" fontId="15" fillId="11" borderId="1" xfId="1" applyNumberFormat="1" applyFont="1" applyFill="1" applyBorder="1" applyAlignment="1">
      <alignment vertical="center"/>
    </xf>
    <xf numFmtId="0" fontId="49" fillId="0" borderId="0" xfId="70" applyFont="1" applyAlignment="1">
      <alignment horizontal="left" vertical="center"/>
    </xf>
    <xf numFmtId="0" fontId="49" fillId="0" borderId="0" xfId="70" applyFont="1" applyAlignment="1">
      <alignment horizontal="center" vertical="center"/>
    </xf>
    <xf numFmtId="176" fontId="14" fillId="0" borderId="0" xfId="1" applyFont="1" applyFill="1" applyBorder="1" applyAlignment="1">
      <alignment vertical="center"/>
    </xf>
    <xf numFmtId="182" fontId="14" fillId="0" borderId="0" xfId="1" applyNumberFormat="1" applyFont="1" applyFill="1" applyBorder="1" applyAlignment="1">
      <alignment vertical="center"/>
    </xf>
    <xf numFmtId="184" fontId="14" fillId="0" borderId="0" xfId="3" applyNumberFormat="1" applyFont="1" applyFill="1" applyAlignment="1">
      <alignment vertical="center"/>
    </xf>
    <xf numFmtId="182" fontId="14" fillId="0" borderId="0" xfId="1" applyNumberFormat="1" applyFont="1" applyAlignment="1">
      <alignment vertical="center"/>
    </xf>
    <xf numFmtId="9" fontId="49" fillId="0" borderId="0" xfId="3" applyFont="1" applyAlignment="1">
      <alignment horizontal="center" vertical="center"/>
    </xf>
    <xf numFmtId="182" fontId="49" fillId="0" borderId="25" xfId="1" applyNumberFormat="1" applyFont="1" applyFill="1" applyBorder="1" applyAlignment="1">
      <alignment horizontal="center" vertical="center" wrapText="1"/>
    </xf>
    <xf numFmtId="182" fontId="15" fillId="11" borderId="7" xfId="1" applyNumberFormat="1" applyFont="1" applyFill="1" applyBorder="1"/>
    <xf numFmtId="182" fontId="15" fillId="11" borderId="11" xfId="1" applyNumberFormat="1" applyFont="1" applyFill="1" applyBorder="1" applyAlignment="1">
      <alignment vertical="center"/>
    </xf>
    <xf numFmtId="186" fontId="15" fillId="11" borderId="1" xfId="1" applyNumberFormat="1" applyFont="1" applyFill="1" applyBorder="1"/>
    <xf numFmtId="186" fontId="15" fillId="11" borderId="13" xfId="1" applyNumberFormat="1" applyFont="1" applyFill="1" applyBorder="1"/>
    <xf numFmtId="182" fontId="14" fillId="0" borderId="0" xfId="1" applyNumberFormat="1" applyFont="1"/>
    <xf numFmtId="182" fontId="14" fillId="0" borderId="0" xfId="1" applyNumberFormat="1" applyFont="1" applyFill="1" applyBorder="1"/>
    <xf numFmtId="182" fontId="14" fillId="0" borderId="0" xfId="1" applyNumberFormat="1" applyFont="1" applyFill="1"/>
    <xf numFmtId="196" fontId="49" fillId="0" borderId="0" xfId="2" applyNumberFormat="1" applyFont="1" applyFill="1" applyBorder="1" applyAlignment="1">
      <alignment horizontal="center" vertical="center"/>
    </xf>
    <xf numFmtId="183" fontId="49" fillId="0" borderId="0" xfId="66" applyNumberFormat="1" applyFont="1" applyFill="1" applyBorder="1" applyAlignment="1">
      <alignment horizontal="center" vertical="center"/>
    </xf>
    <xf numFmtId="183" fontId="49" fillId="0" borderId="0" xfId="70" applyNumberFormat="1" applyFont="1" applyAlignment="1">
      <alignment horizontal="center" vertical="center"/>
    </xf>
    <xf numFmtId="0" fontId="34" fillId="3" borderId="0" xfId="70" applyFont="1" applyFill="1" applyAlignment="1">
      <alignment horizontal="center" vertical="center"/>
    </xf>
    <xf numFmtId="0" fontId="14" fillId="0" borderId="0" xfId="76" applyFont="1" applyAlignment="1">
      <alignment vertical="center"/>
    </xf>
    <xf numFmtId="10" fontId="14" fillId="0" borderId="0" xfId="3" applyNumberFormat="1" applyFont="1" applyFill="1"/>
    <xf numFmtId="0" fontId="49" fillId="0" borderId="1" xfId="70" applyFont="1" applyBorder="1" applyAlignment="1">
      <alignment horizontal="center" vertical="center"/>
    </xf>
    <xf numFmtId="3" fontId="49" fillId="0" borderId="1" xfId="70" applyNumberFormat="1" applyFont="1" applyBorder="1" applyAlignment="1">
      <alignment horizontal="center" vertical="center"/>
    </xf>
    <xf numFmtId="3" fontId="49" fillId="0" borderId="8" xfId="70" applyNumberFormat="1" applyFont="1" applyBorder="1" applyAlignment="1">
      <alignment horizontal="center" vertical="center"/>
    </xf>
    <xf numFmtId="3" fontId="49" fillId="0" borderId="3" xfId="70" applyNumberFormat="1" applyFont="1" applyBorder="1" applyAlignment="1">
      <alignment horizontal="center" vertical="center"/>
    </xf>
    <xf numFmtId="186" fontId="49" fillId="0" borderId="8" xfId="70" applyNumberFormat="1" applyFont="1" applyBorder="1" applyAlignment="1">
      <alignment horizontal="center" vertical="center"/>
    </xf>
    <xf numFmtId="3" fontId="49" fillId="0" borderId="27" xfId="70" applyNumberFormat="1" applyFont="1" applyBorder="1" applyAlignment="1">
      <alignment horizontal="left" vertical="center" wrapText="1"/>
    </xf>
    <xf numFmtId="186" fontId="14" fillId="0" borderId="0" xfId="0" applyNumberFormat="1" applyFont="1"/>
    <xf numFmtId="0" fontId="51" fillId="3" borderId="0" xfId="70" applyFont="1" applyFill="1" applyAlignment="1">
      <alignment horizontal="center" vertical="center"/>
    </xf>
    <xf numFmtId="0" fontId="51" fillId="0" borderId="0" xfId="70" applyFont="1" applyAlignment="1">
      <alignment horizontal="center" vertical="center"/>
    </xf>
    <xf numFmtId="0" fontId="16" fillId="2" borderId="4" xfId="70" applyFont="1" applyFill="1" applyBorder="1" applyAlignment="1">
      <alignment horizontal="center" vertical="center" wrapText="1"/>
    </xf>
    <xf numFmtId="0" fontId="16" fillId="2" borderId="6" xfId="70" applyFont="1" applyFill="1" applyBorder="1" applyAlignment="1">
      <alignment horizontal="center" vertical="center" wrapText="1"/>
    </xf>
    <xf numFmtId="0" fontId="16" fillId="2" borderId="28" xfId="70" applyFont="1" applyFill="1" applyBorder="1" applyAlignment="1">
      <alignment horizontal="center" vertical="center" wrapText="1"/>
    </xf>
    <xf numFmtId="0" fontId="16" fillId="2" borderId="0" xfId="70" applyFont="1" applyFill="1" applyAlignment="1">
      <alignment horizontal="center" vertical="center" wrapText="1"/>
    </xf>
    <xf numFmtId="3" fontId="49" fillId="0" borderId="1" xfId="70" applyNumberFormat="1" applyFont="1" applyBorder="1" applyAlignment="1">
      <alignment vertical="center"/>
    </xf>
    <xf numFmtId="183" fontId="49" fillId="0" borderId="0" xfId="70" applyNumberFormat="1" applyFont="1" applyAlignment="1">
      <alignment horizontal="center" vertical="center" wrapText="1"/>
    </xf>
    <xf numFmtId="183" fontId="14" fillId="0" borderId="0" xfId="0" applyNumberFormat="1" applyFont="1"/>
    <xf numFmtId="0" fontId="16" fillId="0" borderId="0" xfId="0" applyFont="1" applyAlignment="1">
      <alignment wrapText="1"/>
    </xf>
    <xf numFmtId="197" fontId="49" fillId="0" borderId="0" xfId="70" applyNumberFormat="1" applyFont="1" applyAlignment="1">
      <alignment horizontal="center" vertical="center"/>
    </xf>
    <xf numFmtId="4" fontId="49" fillId="0" borderId="0" xfId="70" applyNumberFormat="1" applyFont="1" applyAlignment="1">
      <alignment horizontal="center" vertical="center"/>
    </xf>
    <xf numFmtId="3" fontId="14" fillId="0" borderId="0" xfId="70" applyNumberFormat="1" applyFont="1" applyAlignment="1">
      <alignment vertical="center"/>
    </xf>
    <xf numFmtId="3" fontId="49" fillId="0" borderId="0" xfId="70" applyNumberFormat="1" applyFont="1" applyAlignment="1">
      <alignment vertical="center" wrapText="1"/>
    </xf>
    <xf numFmtId="186" fontId="49" fillId="0" borderId="3" xfId="70" applyNumberFormat="1" applyFont="1" applyBorder="1" applyAlignment="1">
      <alignment horizontal="center" vertical="center"/>
    </xf>
    <xf numFmtId="0" fontId="16" fillId="0" borderId="0" xfId="70" applyFont="1" applyAlignment="1">
      <alignment horizontal="left" vertical="center"/>
    </xf>
    <xf numFmtId="0" fontId="39" fillId="0" borderId="0" xfId="0" applyFont="1" applyAlignment="1">
      <alignment horizontal="left" wrapText="1"/>
    </xf>
    <xf numFmtId="0" fontId="16" fillId="2" borderId="7" xfId="0" applyFont="1" applyFill="1" applyBorder="1" applyAlignment="1">
      <alignment wrapText="1"/>
    </xf>
    <xf numFmtId="0" fontId="16" fillId="2" borderId="7" xfId="0" applyFont="1" applyFill="1" applyBorder="1" applyAlignment="1">
      <alignment horizontal="center" vertical="center" wrapText="1"/>
    </xf>
    <xf numFmtId="0" fontId="16" fillId="2" borderId="1" xfId="0" applyFont="1" applyFill="1" applyBorder="1" applyAlignment="1">
      <alignment vertical="center" wrapText="1"/>
    </xf>
    <xf numFmtId="0" fontId="16" fillId="2" borderId="1" xfId="0" applyFont="1" applyFill="1" applyBorder="1" applyAlignment="1">
      <alignment wrapText="1"/>
    </xf>
    <xf numFmtId="186" fontId="14" fillId="0" borderId="1" xfId="2" applyNumberFormat="1" applyFont="1" applyFill="1" applyBorder="1"/>
    <xf numFmtId="0" fontId="14" fillId="0" borderId="1" xfId="0" applyFont="1" applyBorder="1" applyAlignment="1">
      <alignment horizontal="center"/>
    </xf>
    <xf numFmtId="186" fontId="15" fillId="0" borderId="1" xfId="2" applyNumberFormat="1" applyFont="1" applyFill="1" applyBorder="1"/>
    <xf numFmtId="176" fontId="14" fillId="0" borderId="1" xfId="1" applyFont="1" applyFill="1" applyBorder="1"/>
    <xf numFmtId="186" fontId="14" fillId="0" borderId="1" xfId="1" applyNumberFormat="1" applyFont="1" applyFill="1" applyBorder="1"/>
    <xf numFmtId="3" fontId="49" fillId="0" borderId="1" xfId="70" applyNumberFormat="1" applyFont="1" applyBorder="1" applyAlignment="1">
      <alignment horizontal="left" vertical="center"/>
    </xf>
    <xf numFmtId="0" fontId="52" fillId="0" borderId="0" xfId="0" applyFont="1"/>
    <xf numFmtId="0" fontId="52" fillId="0" borderId="29" xfId="0" applyFont="1" applyBorder="1"/>
    <xf numFmtId="182" fontId="52" fillId="0" borderId="30" xfId="1" applyNumberFormat="1" applyFont="1" applyBorder="1" applyAlignment="1">
      <alignment horizontal="center"/>
    </xf>
    <xf numFmtId="182" fontId="52" fillId="0" borderId="31" xfId="1" applyNumberFormat="1" applyFont="1" applyBorder="1" applyAlignment="1">
      <alignment horizontal="center"/>
    </xf>
    <xf numFmtId="176" fontId="52" fillId="18" borderId="32" xfId="1" applyFont="1" applyFill="1" applyBorder="1" applyAlignment="1">
      <alignment horizontal="center"/>
    </xf>
    <xf numFmtId="182" fontId="52" fillId="0" borderId="33" xfId="1" applyNumberFormat="1" applyFont="1" applyBorder="1" applyAlignment="1">
      <alignment horizontal="center"/>
    </xf>
    <xf numFmtId="3" fontId="49" fillId="0" borderId="0" xfId="70" applyNumberFormat="1" applyFont="1" applyAlignment="1">
      <alignment vertical="center"/>
    </xf>
    <xf numFmtId="0" fontId="53" fillId="3" borderId="0" xfId="70" applyFont="1" applyFill="1" applyAlignment="1">
      <alignment horizontal="center" vertical="center"/>
    </xf>
    <xf numFmtId="0" fontId="53" fillId="0" borderId="0" xfId="70" applyFont="1" applyAlignment="1">
      <alignment horizontal="center" vertical="center"/>
    </xf>
    <xf numFmtId="198" fontId="14" fillId="0" borderId="0" xfId="3" applyNumberFormat="1" applyFont="1" applyFill="1"/>
    <xf numFmtId="10" fontId="14" fillId="0" borderId="0" xfId="0" applyNumberFormat="1" applyFont="1"/>
    <xf numFmtId="199" fontId="49" fillId="0" borderId="3" xfId="70" applyNumberFormat="1" applyFont="1" applyBorder="1" applyAlignment="1">
      <alignment horizontal="center" vertical="center"/>
    </xf>
    <xf numFmtId="182" fontId="52" fillId="6" borderId="32" xfId="1" applyNumberFormat="1" applyFont="1" applyFill="1" applyBorder="1" applyAlignment="1">
      <alignment horizontal="center"/>
    </xf>
    <xf numFmtId="182" fontId="14" fillId="0" borderId="0" xfId="0" applyNumberFormat="1" applyFont="1"/>
    <xf numFmtId="193" fontId="52" fillId="0" borderId="30" xfId="54" applyNumberFormat="1" applyFont="1" applyBorder="1" applyAlignment="1">
      <alignment horizontal="center"/>
    </xf>
    <xf numFmtId="193" fontId="52" fillId="0" borderId="31" xfId="54" applyNumberFormat="1" applyFont="1" applyBorder="1" applyAlignment="1">
      <alignment horizontal="center"/>
    </xf>
    <xf numFmtId="193" fontId="52" fillId="6" borderId="32" xfId="54" applyNumberFormat="1" applyFont="1" applyFill="1" applyBorder="1" applyAlignment="1">
      <alignment horizontal="center"/>
    </xf>
    <xf numFmtId="193" fontId="52" fillId="6" borderId="33" xfId="54" applyNumberFormat="1" applyFont="1" applyFill="1" applyBorder="1" applyAlignment="1">
      <alignment horizontal="center"/>
    </xf>
    <xf numFmtId="193" fontId="52" fillId="0" borderId="29" xfId="54" applyNumberFormat="1" applyFont="1" applyBorder="1" applyAlignment="1">
      <alignment horizontal="center"/>
    </xf>
    <xf numFmtId="176" fontId="54" fillId="18" borderId="32" xfId="1" applyFont="1" applyFill="1" applyBorder="1" applyAlignment="1">
      <alignment horizontal="center"/>
    </xf>
    <xf numFmtId="193" fontId="52" fillId="0" borderId="33" xfId="54" applyNumberFormat="1" applyFont="1" applyBorder="1" applyAlignment="1">
      <alignment horizontal="center"/>
    </xf>
    <xf numFmtId="193" fontId="54" fillId="18" borderId="32" xfId="54" applyNumberFormat="1" applyFont="1" applyFill="1" applyBorder="1" applyAlignment="1">
      <alignment horizontal="center"/>
    </xf>
    <xf numFmtId="193" fontId="52" fillId="0" borderId="32" xfId="54" applyNumberFormat="1" applyFont="1" applyBorder="1" applyAlignment="1">
      <alignment horizontal="center"/>
    </xf>
    <xf numFmtId="0" fontId="53" fillId="3" borderId="0" xfId="0" applyFont="1" applyFill="1" applyAlignment="1">
      <alignment horizontal="center"/>
    </xf>
    <xf numFmtId="0" fontId="53" fillId="0" borderId="0" xfId="0" applyFont="1" applyAlignment="1">
      <alignment horizontal="center"/>
    </xf>
    <xf numFmtId="0" fontId="55" fillId="2" borderId="1" xfId="0" applyFont="1" applyFill="1" applyBorder="1" applyAlignment="1">
      <alignment horizontal="center" vertical="center" wrapText="1"/>
    </xf>
    <xf numFmtId="0" fontId="12" fillId="0" borderId="32" xfId="0" applyFont="1" applyBorder="1" applyAlignment="1">
      <alignment horizontal="center" vertical="center"/>
    </xf>
    <xf numFmtId="0" fontId="12" fillId="0" borderId="33" xfId="0" applyFont="1" applyBorder="1" applyAlignment="1">
      <alignment horizontal="center" vertical="center"/>
    </xf>
    <xf numFmtId="176" fontId="12" fillId="0" borderId="33" xfId="0" applyNumberFormat="1" applyFont="1" applyBorder="1" applyAlignment="1">
      <alignment horizontal="center" vertical="center"/>
    </xf>
    <xf numFmtId="176" fontId="12" fillId="0" borderId="33" xfId="1" applyFont="1" applyBorder="1" applyAlignment="1">
      <alignment horizontal="center" vertical="center"/>
    </xf>
    <xf numFmtId="200" fontId="12" fillId="0" borderId="33" xfId="1" applyNumberFormat="1" applyFont="1" applyBorder="1" applyAlignment="1">
      <alignment horizontal="center" vertical="center"/>
    </xf>
    <xf numFmtId="0" fontId="13" fillId="14" borderId="34" xfId="0" applyFont="1" applyFill="1" applyBorder="1" applyAlignment="1">
      <alignment horizontal="center" vertical="center"/>
    </xf>
    <xf numFmtId="0" fontId="13" fillId="14" borderId="35" xfId="0" applyFont="1" applyFill="1" applyBorder="1" applyAlignment="1">
      <alignment horizontal="center" vertical="center"/>
    </xf>
    <xf numFmtId="4" fontId="13" fillId="14" borderId="33" xfId="0" applyNumberFormat="1" applyFont="1" applyFill="1" applyBorder="1" applyAlignment="1">
      <alignment horizontal="center" vertical="center"/>
    </xf>
    <xf numFmtId="200" fontId="13" fillId="14" borderId="33" xfId="0" applyNumberFormat="1" applyFont="1" applyFill="1" applyBorder="1" applyAlignment="1">
      <alignment horizontal="center" vertical="center"/>
    </xf>
    <xf numFmtId="0" fontId="51" fillId="3" borderId="0" xfId="0" applyFont="1" applyFill="1" applyAlignment="1">
      <alignment horizontal="center" vertical="center"/>
    </xf>
    <xf numFmtId="0" fontId="51" fillId="0" borderId="0" xfId="0" applyFont="1" applyAlignment="1">
      <alignment horizontal="center"/>
    </xf>
    <xf numFmtId="0" fontId="35" fillId="2" borderId="9" xfId="0" applyFont="1" applyFill="1" applyBorder="1" applyAlignment="1">
      <alignment horizontal="center" vertical="center"/>
    </xf>
    <xf numFmtId="0" fontId="35" fillId="2" borderId="10" xfId="0" applyFont="1" applyFill="1" applyBorder="1" applyAlignment="1">
      <alignment horizontal="center" vertical="center"/>
    </xf>
    <xf numFmtId="0" fontId="35" fillId="2" borderId="11" xfId="0" applyFont="1" applyFill="1" applyBorder="1" applyAlignment="1">
      <alignment horizontal="center" vertical="center"/>
    </xf>
    <xf numFmtId="201" fontId="3" fillId="0" borderId="1" xfId="0" applyNumberFormat="1" applyFont="1" applyBorder="1"/>
    <xf numFmtId="201" fontId="0" fillId="0" borderId="1" xfId="0" applyNumberFormat="1" applyBorder="1"/>
    <xf numFmtId="201" fontId="0" fillId="0" borderId="0" xfId="0" applyNumberFormat="1"/>
    <xf numFmtId="0" fontId="35" fillId="2" borderId="0" xfId="0" applyFont="1" applyFill="1" applyAlignment="1">
      <alignment horizontal="center" vertical="center" wrapText="1"/>
    </xf>
    <xf numFmtId="0" fontId="56" fillId="0" borderId="0" xfId="0" applyFont="1"/>
    <xf numFmtId="0" fontId="17" fillId="0" borderId="0" xfId="0" applyFont="1"/>
    <xf numFmtId="0" fontId="53" fillId="12" borderId="36" xfId="0" applyFont="1" applyFill="1" applyBorder="1" applyAlignment="1">
      <alignment horizontal="center"/>
    </xf>
    <xf numFmtId="0" fontId="53" fillId="12" borderId="0" xfId="0" applyFont="1" applyFill="1" applyAlignment="1">
      <alignment horizontal="center"/>
    </xf>
    <xf numFmtId="0" fontId="20" fillId="2" borderId="22" xfId="0" applyFont="1" applyFill="1" applyBorder="1" applyAlignment="1">
      <alignment horizontal="center" vertical="center" wrapText="1"/>
    </xf>
    <xf numFmtId="0" fontId="20" fillId="2" borderId="37"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23" xfId="0" applyFont="1" applyFill="1" applyBorder="1" applyAlignment="1">
      <alignment horizontal="center" vertical="center" wrapText="1"/>
    </xf>
    <xf numFmtId="0" fontId="20" fillId="2" borderId="38" xfId="0" applyFont="1" applyFill="1" applyBorder="1" applyAlignment="1">
      <alignment horizontal="center" vertical="center" wrapText="1"/>
    </xf>
    <xf numFmtId="0" fontId="20" fillId="2" borderId="8" xfId="0" applyFont="1" applyFill="1" applyBorder="1" applyAlignment="1">
      <alignment horizontal="center" vertical="center" wrapText="1"/>
    </xf>
    <xf numFmtId="182" fontId="57" fillId="0" borderId="6" xfId="1" applyNumberFormat="1" applyFont="1" applyFill="1" applyBorder="1" applyAlignment="1">
      <alignment horizontal="center" vertical="center" wrapText="1"/>
    </xf>
    <xf numFmtId="0" fontId="57" fillId="0" borderId="6" xfId="1" applyNumberFormat="1" applyFont="1" applyFill="1" applyBorder="1" applyAlignment="1">
      <alignment horizontal="center" vertical="center" wrapText="1"/>
    </xf>
    <xf numFmtId="202" fontId="57" fillId="0" borderId="6" xfId="1" applyNumberFormat="1" applyFont="1" applyFill="1" applyBorder="1" applyAlignment="1">
      <alignment horizontal="center" vertical="center" wrapText="1"/>
    </xf>
    <xf numFmtId="0" fontId="19" fillId="3" borderId="0" xfId="0" applyFont="1" applyFill="1" applyAlignment="1">
      <alignment horizontal="center" vertical="center"/>
    </xf>
    <xf numFmtId="0" fontId="20" fillId="0" borderId="0" xfId="0" applyFont="1" applyAlignment="1">
      <alignment horizontal="center" vertical="center"/>
    </xf>
    <xf numFmtId="0" fontId="20" fillId="2" borderId="1" xfId="0" applyFont="1" applyFill="1" applyBorder="1" applyAlignment="1">
      <alignment horizontal="center" vertical="center" wrapText="1"/>
    </xf>
    <xf numFmtId="0" fontId="22" fillId="0" borderId="7" xfId="0" applyFont="1" applyBorder="1" applyAlignment="1">
      <alignment horizontal="center" vertical="center" wrapText="1"/>
    </xf>
    <xf numFmtId="182" fontId="57" fillId="0" borderId="38" xfId="1" applyNumberFormat="1" applyFont="1" applyFill="1" applyBorder="1" applyAlignment="1">
      <alignment horizontal="center" vertical="center" wrapText="1"/>
    </xf>
    <xf numFmtId="182" fontId="57" fillId="0" borderId="8" xfId="1" applyNumberFormat="1" applyFont="1" applyFill="1" applyBorder="1" applyAlignment="1">
      <alignment horizontal="center" vertical="center" wrapText="1"/>
    </xf>
    <xf numFmtId="182" fontId="57" fillId="0" borderId="23" xfId="1" applyNumberFormat="1" applyFont="1" applyFill="1" applyBorder="1" applyAlignment="1">
      <alignment horizontal="center" vertical="center" wrapText="1"/>
    </xf>
    <xf numFmtId="182" fontId="17" fillId="0" borderId="7" xfId="0" applyNumberFormat="1" applyFont="1" applyBorder="1" applyAlignment="1">
      <alignment vertical="center"/>
    </xf>
    <xf numFmtId="182" fontId="57" fillId="0" borderId="38" xfId="1" applyNumberFormat="1" applyFont="1" applyFill="1" applyBorder="1" applyAlignment="1">
      <alignment vertical="center" wrapText="1"/>
    </xf>
    <xf numFmtId="0" fontId="25" fillId="0" borderId="0" xfId="0" applyFont="1"/>
    <xf numFmtId="0" fontId="22" fillId="0" borderId="1" xfId="0" applyFont="1" applyBorder="1" applyAlignment="1">
      <alignment horizontal="center" vertical="center" wrapText="1"/>
    </xf>
    <xf numFmtId="182" fontId="57" fillId="0" borderId="2" xfId="1" applyNumberFormat="1" applyFont="1" applyFill="1" applyBorder="1" applyAlignment="1">
      <alignment horizontal="center" vertical="center" wrapText="1"/>
    </xf>
    <xf numFmtId="182" fontId="17" fillId="0" borderId="13" xfId="0" applyNumberFormat="1" applyFont="1" applyBorder="1" applyAlignment="1">
      <alignment vertical="center"/>
    </xf>
    <xf numFmtId="182" fontId="57" fillId="0" borderId="37" xfId="1" applyNumberFormat="1" applyFont="1" applyFill="1" applyBorder="1" applyAlignment="1">
      <alignment vertical="center" wrapText="1"/>
    </xf>
    <xf numFmtId="182" fontId="57" fillId="0" borderId="0" xfId="1" applyNumberFormat="1" applyFont="1" applyFill="1" applyBorder="1" applyAlignment="1">
      <alignment horizontal="center" vertical="center" wrapText="1"/>
    </xf>
    <xf numFmtId="182" fontId="22" fillId="0" borderId="1" xfId="1" applyNumberFormat="1" applyFont="1" applyFill="1" applyBorder="1" applyAlignment="1">
      <alignment horizontal="center" vertical="center" wrapText="1"/>
    </xf>
    <xf numFmtId="182" fontId="19" fillId="0" borderId="1" xfId="0" applyNumberFormat="1" applyFont="1" applyBorder="1" applyAlignment="1">
      <alignment vertical="center"/>
    </xf>
    <xf numFmtId="182" fontId="57" fillId="0" borderId="3" xfId="1" applyNumberFormat="1" applyFont="1" applyFill="1" applyBorder="1" applyAlignment="1">
      <alignment horizontal="center" vertical="center" wrapText="1"/>
    </xf>
    <xf numFmtId="182" fontId="57" fillId="0" borderId="4" xfId="1" applyNumberFormat="1" applyFont="1" applyFill="1" applyBorder="1" applyAlignment="1">
      <alignment horizontal="center" vertical="center" wrapText="1"/>
    </xf>
    <xf numFmtId="182" fontId="17" fillId="0" borderId="1" xfId="0" applyNumberFormat="1" applyFont="1" applyBorder="1" applyAlignment="1">
      <alignment vertical="center"/>
    </xf>
    <xf numFmtId="182" fontId="57" fillId="0" borderId="6" xfId="1" applyNumberFormat="1" applyFont="1" applyFill="1" applyBorder="1" applyAlignment="1">
      <alignment vertical="center" wrapText="1"/>
    </xf>
    <xf numFmtId="9" fontId="25" fillId="0" borderId="0" xfId="0" applyNumberFormat="1" applyFont="1" applyAlignment="1">
      <alignment horizontal="center" vertical="center" wrapText="1"/>
    </xf>
    <xf numFmtId="0" fontId="19" fillId="0" borderId="0" xfId="0" applyFont="1" applyAlignment="1">
      <alignment vertical="center"/>
    </xf>
    <xf numFmtId="0" fontId="26" fillId="0" borderId="0" xfId="0" applyFont="1" applyAlignment="1">
      <alignment horizontal="center" vertical="center"/>
    </xf>
    <xf numFmtId="4" fontId="17" fillId="0" borderId="0" xfId="0" applyNumberFormat="1" applyFont="1" applyAlignment="1">
      <alignment horizontal="center" vertical="center"/>
    </xf>
    <xf numFmtId="0" fontId="20" fillId="2" borderId="7" xfId="0" applyFont="1" applyFill="1" applyBorder="1" applyAlignment="1">
      <alignment horizontal="center" vertical="center" wrapText="1"/>
    </xf>
    <xf numFmtId="0" fontId="25" fillId="0" borderId="1" xfId="0" applyFont="1" applyBorder="1" applyAlignment="1">
      <alignment horizontal="center"/>
    </xf>
    <xf numFmtId="0" fontId="17" fillId="0" borderId="1" xfId="0" applyFont="1" applyBorder="1" applyAlignment="1">
      <alignment horizontal="center"/>
    </xf>
    <xf numFmtId="3" fontId="25" fillId="0" borderId="1" xfId="0" applyNumberFormat="1" applyFont="1" applyBorder="1" applyAlignment="1">
      <alignment horizontal="center" vertical="center" wrapText="1"/>
    </xf>
    <xf numFmtId="176" fontId="17" fillId="0" borderId="0" xfId="0" applyNumberFormat="1" applyFont="1"/>
    <xf numFmtId="203" fontId="17" fillId="0" borderId="0" xfId="0" applyNumberFormat="1" applyFont="1"/>
    <xf numFmtId="0" fontId="26" fillId="0" borderId="1" xfId="0" applyFont="1" applyBorder="1" applyAlignment="1">
      <alignment horizontal="center"/>
    </xf>
    <xf numFmtId="0" fontId="19" fillId="0" borderId="1" xfId="0" applyFont="1" applyBorder="1" applyAlignment="1">
      <alignment horizontal="center"/>
    </xf>
    <xf numFmtId="3" fontId="26" fillId="0" borderId="1" xfId="0" applyNumberFormat="1" applyFont="1" applyBorder="1" applyAlignment="1">
      <alignment horizontal="center" vertical="center" wrapText="1"/>
    </xf>
    <xf numFmtId="0" fontId="22" fillId="0" borderId="1" xfId="0" applyFont="1" applyBorder="1" applyAlignment="1">
      <alignment horizontal="center"/>
    </xf>
    <xf numFmtId="3" fontId="22" fillId="0" borderId="1" xfId="0" applyNumberFormat="1" applyFont="1" applyBorder="1" applyAlignment="1">
      <alignment horizontal="center" vertical="center" wrapText="1"/>
    </xf>
    <xf numFmtId="0" fontId="30" fillId="0" borderId="0" xfId="0" applyFont="1"/>
    <xf numFmtId="0" fontId="58" fillId="0" borderId="0" xfId="0" applyFont="1" applyAlignment="1">
      <alignment vertical="center"/>
    </xf>
    <xf numFmtId="0" fontId="59" fillId="0" borderId="0" xfId="0" applyFont="1"/>
    <xf numFmtId="0" fontId="60" fillId="0" borderId="0" xfId="0" applyFont="1" applyAlignment="1">
      <alignment vertical="center" wrapText="1"/>
    </xf>
    <xf numFmtId="0" fontId="61" fillId="12" borderId="0" xfId="0" applyFont="1" applyFill="1" applyAlignment="1">
      <alignment horizontal="center" vertical="center"/>
    </xf>
    <xf numFmtId="0" fontId="0" fillId="19" borderId="0" xfId="0" applyFill="1"/>
    <xf numFmtId="0" fontId="51" fillId="19" borderId="0" xfId="0" applyFont="1" applyFill="1" applyAlignment="1">
      <alignment vertical="center"/>
    </xf>
    <xf numFmtId="0" fontId="51" fillId="0" borderId="0" xfId="0" applyFont="1" applyAlignment="1">
      <alignment vertical="center"/>
    </xf>
    <xf numFmtId="0" fontId="59" fillId="19" borderId="0" xfId="0" applyFont="1" applyFill="1" applyAlignment="1">
      <alignment vertical="center"/>
    </xf>
    <xf numFmtId="9" fontId="0" fillId="19" borderId="0" xfId="3" applyFont="1" applyFill="1"/>
    <xf numFmtId="0" fontId="35" fillId="2" borderId="1" xfId="0" applyFont="1" applyFill="1" applyBorder="1" applyAlignment="1">
      <alignment horizontal="center" vertical="center" wrapText="1"/>
    </xf>
    <xf numFmtId="0" fontId="35" fillId="2" borderId="39" xfId="0" applyFont="1" applyFill="1" applyBorder="1" applyAlignment="1">
      <alignment horizontal="center" vertical="center" wrapText="1"/>
    </xf>
    <xf numFmtId="0" fontId="35" fillId="2" borderId="40" xfId="0" applyFont="1" applyFill="1" applyBorder="1" applyAlignment="1">
      <alignment horizontal="center" vertical="center" wrapText="1"/>
    </xf>
    <xf numFmtId="0" fontId="62" fillId="0" borderId="1" xfId="0" applyFont="1" applyBorder="1" applyAlignment="1">
      <alignment horizontal="center"/>
    </xf>
    <xf numFmtId="182" fontId="0" fillId="0" borderId="1" xfId="1" applyNumberFormat="1" applyFont="1" applyFill="1" applyBorder="1"/>
    <xf numFmtId="176" fontId="0" fillId="0" borderId="0" xfId="1" applyFont="1" applyFill="1"/>
    <xf numFmtId="0" fontId="59" fillId="0" borderId="0" xfId="0" applyFont="1" applyAlignment="1">
      <alignment vertical="center"/>
    </xf>
    <xf numFmtId="0" fontId="0" fillId="0" borderId="0" xfId="0" applyAlignment="1">
      <alignment horizontal="center"/>
    </xf>
    <xf numFmtId="182" fontId="0" fillId="0" borderId="0" xfId="1" applyNumberFormat="1" applyFont="1" applyFill="1" applyBorder="1"/>
    <xf numFmtId="9" fontId="0" fillId="0" borderId="0" xfId="3" applyFont="1" applyFill="1"/>
    <xf numFmtId="9" fontId="0" fillId="0" borderId="0" xfId="0" applyNumberFormat="1"/>
    <xf numFmtId="0" fontId="53" fillId="12" borderId="0" xfId="0" applyFont="1" applyFill="1" applyAlignment="1">
      <alignment horizontal="left" vertical="center"/>
    </xf>
    <xf numFmtId="0" fontId="51" fillId="12" borderId="0" xfId="0" applyFont="1" applyFill="1" applyAlignment="1">
      <alignment horizontal="left"/>
    </xf>
    <xf numFmtId="3" fontId="0" fillId="6" borderId="1" xfId="0" applyNumberFormat="1" applyFill="1" applyBorder="1"/>
    <xf numFmtId="3" fontId="63" fillId="6" borderId="1" xfId="0" applyNumberFormat="1" applyFont="1" applyFill="1" applyBorder="1"/>
    <xf numFmtId="0" fontId="40" fillId="2" borderId="1" xfId="0" applyFont="1" applyFill="1" applyBorder="1"/>
    <xf numFmtId="3" fontId="35" fillId="2" borderId="1" xfId="0" applyNumberFormat="1" applyFont="1" applyFill="1" applyBorder="1" applyAlignment="1">
      <alignment horizontal="right"/>
    </xf>
    <xf numFmtId="0" fontId="35" fillId="2" borderId="1" xfId="0" applyFont="1" applyFill="1" applyBorder="1" applyAlignment="1">
      <alignment horizontal="left"/>
    </xf>
    <xf numFmtId="0" fontId="0" fillId="0" borderId="0" xfId="0" applyAlignment="1">
      <alignment horizontal="right"/>
    </xf>
    <xf numFmtId="3" fontId="35" fillId="0" borderId="0" xfId="0" applyNumberFormat="1" applyFont="1" applyAlignment="1">
      <alignment horizontal="right"/>
    </xf>
    <xf numFmtId="0" fontId="35" fillId="0" borderId="0" xfId="0" applyFont="1" applyAlignment="1">
      <alignment horizontal="left"/>
    </xf>
    <xf numFmtId="0" fontId="53" fillId="0" borderId="0" xfId="0" applyFont="1" applyAlignment="1">
      <alignment horizontal="center" vertical="center"/>
    </xf>
    <xf numFmtId="0" fontId="51" fillId="0" borderId="0" xfId="0" applyFont="1" applyAlignment="1">
      <alignment horizontal="center" vertical="center"/>
    </xf>
    <xf numFmtId="0" fontId="64" fillId="20" borderId="36" xfId="0" applyFont="1" applyFill="1" applyBorder="1" applyAlignment="1">
      <alignment horizontal="center" vertical="center"/>
    </xf>
    <xf numFmtId="0" fontId="64" fillId="20" borderId="0" xfId="0" applyFont="1" applyFill="1" applyAlignment="1">
      <alignment horizontal="center" vertical="center"/>
    </xf>
    <xf numFmtId="0" fontId="35" fillId="2" borderId="0" xfId="0" applyFont="1" applyFill="1" applyAlignment="1">
      <alignment horizontal="center" wrapText="1"/>
    </xf>
    <xf numFmtId="0" fontId="35" fillId="2" borderId="13" xfId="0" applyFont="1" applyFill="1" applyBorder="1" applyAlignment="1">
      <alignment horizontal="center" wrapText="1"/>
    </xf>
    <xf numFmtId="199" fontId="0" fillId="0" borderId="1" xfId="0" applyNumberFormat="1" applyBorder="1"/>
    <xf numFmtId="0" fontId="64" fillId="2" borderId="0" xfId="0" applyFont="1" applyFill="1" applyAlignment="1">
      <alignment horizontal="center"/>
    </xf>
    <xf numFmtId="0" fontId="64" fillId="2" borderId="0" xfId="0" applyFont="1" applyFill="1" applyAlignment="1">
      <alignment horizontal="center" vertical="center"/>
    </xf>
    <xf numFmtId="0" fontId="40" fillId="2" borderId="0" xfId="0" applyFont="1" applyFill="1"/>
    <xf numFmtId="176" fontId="0" fillId="0" borderId="1" xfId="1" applyFont="1" applyFill="1" applyBorder="1"/>
    <xf numFmtId="199" fontId="0" fillId="0" borderId="0" xfId="0" applyNumberFormat="1"/>
    <xf numFmtId="176" fontId="0" fillId="0" borderId="0" xfId="1" applyFont="1" applyFill="1" applyBorder="1"/>
    <xf numFmtId="186" fontId="0" fillId="0" borderId="0" xfId="0" applyNumberFormat="1"/>
    <xf numFmtId="186" fontId="2" fillId="0" borderId="0" xfId="0" applyNumberFormat="1" applyFont="1" applyAlignment="1">
      <alignment horizontal="center" vertical="center" wrapText="1"/>
    </xf>
    <xf numFmtId="186" fontId="35" fillId="13" borderId="1" xfId="0" applyNumberFormat="1" applyFont="1" applyFill="1" applyBorder="1" applyAlignment="1">
      <alignment horizontal="center"/>
    </xf>
    <xf numFmtId="186" fontId="3" fillId="3" borderId="10" xfId="0" applyNumberFormat="1" applyFont="1" applyFill="1" applyBorder="1" applyAlignment="1">
      <alignment horizontal="center"/>
    </xf>
    <xf numFmtId="186" fontId="3" fillId="3" borderId="11" xfId="0" applyNumberFormat="1" applyFont="1" applyFill="1" applyBorder="1" applyAlignment="1">
      <alignment horizontal="center"/>
    </xf>
    <xf numFmtId="186" fontId="0" fillId="0" borderId="1" xfId="1" applyNumberFormat="1" applyFont="1" applyBorder="1" applyAlignment="1">
      <alignment vertical="center"/>
    </xf>
    <xf numFmtId="186" fontId="3" fillId="3" borderId="1" xfId="0" applyNumberFormat="1" applyFont="1" applyFill="1" applyBorder="1"/>
    <xf numFmtId="186" fontId="0" fillId="0" borderId="1" xfId="1" applyNumberFormat="1" applyFont="1" applyBorder="1"/>
    <xf numFmtId="182" fontId="0" fillId="0" borderId="1" xfId="1" applyNumberFormat="1" applyFont="1" applyBorder="1" applyAlignment="1">
      <alignment horizontal="center" vertical="center"/>
    </xf>
    <xf numFmtId="204" fontId="0" fillId="0" borderId="1" xfId="0" applyNumberFormat="1" applyBorder="1" applyAlignment="1">
      <alignment horizontal="center" vertical="center"/>
    </xf>
    <xf numFmtId="204" fontId="0" fillId="0" borderId="1" xfId="0" applyNumberFormat="1" applyBorder="1" applyAlignment="1">
      <alignment horizontal="center"/>
    </xf>
    <xf numFmtId="186" fontId="0" fillId="0" borderId="1" xfId="0" applyNumberFormat="1" applyBorder="1"/>
    <xf numFmtId="204" fontId="0" fillId="0" borderId="1" xfId="0" applyNumberFormat="1" applyBorder="1"/>
    <xf numFmtId="186" fontId="3" fillId="3" borderId="1" xfId="0" applyNumberFormat="1" applyFont="1" applyFill="1" applyBorder="1" applyAlignment="1">
      <alignment horizontal="center" wrapText="1"/>
    </xf>
    <xf numFmtId="186" fontId="3" fillId="3" borderId="1" xfId="1" applyNumberFormat="1" applyFont="1" applyFill="1" applyBorder="1"/>
    <xf numFmtId="186" fontId="3" fillId="3" borderId="9" xfId="0" applyNumberFormat="1" applyFont="1" applyFill="1" applyBorder="1" applyAlignment="1">
      <alignment horizontal="center"/>
    </xf>
    <xf numFmtId="0" fontId="38" fillId="3" borderId="9" xfId="0" applyFont="1" applyFill="1" applyBorder="1" applyAlignment="1">
      <alignment horizontal="center"/>
    </xf>
    <xf numFmtId="0" fontId="38" fillId="3" borderId="10" xfId="0" applyFont="1" applyFill="1" applyBorder="1" applyAlignment="1">
      <alignment horizontal="center"/>
    </xf>
    <xf numFmtId="186" fontId="3" fillId="3" borderId="10" xfId="0" applyNumberFormat="1" applyFont="1" applyFill="1" applyBorder="1"/>
    <xf numFmtId="186" fontId="3" fillId="3" borderId="10" xfId="0" applyNumberFormat="1" applyFont="1" applyFill="1" applyBorder="1" applyAlignment="1">
      <alignment horizontal="center" wrapText="1"/>
    </xf>
    <xf numFmtId="186" fontId="3" fillId="3" borderId="11" xfId="0" applyNumberFormat="1" applyFont="1" applyFill="1" applyBorder="1" applyAlignment="1">
      <alignment horizontal="center" wrapText="1"/>
    </xf>
    <xf numFmtId="182" fontId="0" fillId="0" borderId="1" xfId="1" applyNumberFormat="1" applyFont="1" applyBorder="1" applyAlignment="1">
      <alignment vertical="center"/>
    </xf>
    <xf numFmtId="0" fontId="0" fillId="0" borderId="0" xfId="0" applyAlignment="1">
      <alignment vertical="center"/>
    </xf>
    <xf numFmtId="182" fontId="0" fillId="0" borderId="0" xfId="1" applyNumberFormat="1" applyFont="1" applyBorder="1" applyAlignment="1">
      <alignment vertical="center"/>
    </xf>
    <xf numFmtId="182" fontId="0" fillId="0" borderId="13" xfId="1" applyNumberFormat="1" applyFont="1" applyBorder="1"/>
    <xf numFmtId="176" fontId="0" fillId="0" borderId="1" xfId="1" applyFont="1" applyBorder="1" applyAlignment="1">
      <alignment horizontal="center"/>
    </xf>
    <xf numFmtId="182" fontId="0" fillId="0" borderId="0" xfId="1" applyNumberFormat="1" applyFont="1" applyBorder="1" applyAlignment="1">
      <alignment horizontal="center" vertical="center"/>
    </xf>
    <xf numFmtId="182" fontId="3" fillId="3" borderId="1" xfId="1" applyNumberFormat="1" applyFont="1" applyFill="1" applyBorder="1"/>
    <xf numFmtId="186" fontId="3" fillId="0" borderId="1" xfId="1" applyNumberFormat="1" applyFont="1" applyFill="1" applyBorder="1"/>
    <xf numFmtId="186" fontId="3" fillId="0" borderId="1" xfId="0" applyNumberFormat="1" applyFont="1" applyBorder="1"/>
    <xf numFmtId="186" fontId="3" fillId="3" borderId="0" xfId="1" applyNumberFormat="1" applyFont="1" applyFill="1" applyBorder="1"/>
    <xf numFmtId="186" fontId="3" fillId="3" borderId="0" xfId="0" applyNumberFormat="1" applyFont="1" applyFill="1"/>
    <xf numFmtId="186" fontId="35" fillId="13" borderId="0" xfId="0" applyNumberFormat="1" applyFont="1" applyFill="1" applyAlignment="1">
      <alignment horizontal="center"/>
    </xf>
    <xf numFmtId="186" fontId="0" fillId="0" borderId="1" xfId="0" applyNumberFormat="1" applyBorder="1" applyAlignment="1">
      <alignment vertical="center"/>
    </xf>
    <xf numFmtId="0" fontId="0" fillId="0" borderId="1" xfId="3" applyNumberFormat="1" applyFont="1" applyBorder="1" applyAlignment="1">
      <alignment horizontal="center" vertical="center"/>
    </xf>
    <xf numFmtId="9" fontId="0" fillId="0" borderId="1" xfId="0" applyNumberFormat="1" applyBorder="1" applyAlignment="1">
      <alignment horizontal="center" vertical="center"/>
    </xf>
    <xf numFmtId="191" fontId="0" fillId="0" borderId="1" xfId="1" applyNumberFormat="1" applyFont="1" applyBorder="1" applyAlignment="1">
      <alignment horizontal="center" vertical="center"/>
    </xf>
    <xf numFmtId="186" fontId="3" fillId="0" borderId="13" xfId="1" applyNumberFormat="1" applyFont="1" applyFill="1" applyBorder="1" applyAlignment="1">
      <alignment vertical="center" wrapText="1"/>
    </xf>
    <xf numFmtId="191" fontId="0" fillId="0" borderId="1" xfId="1" applyNumberFormat="1" applyFont="1" applyBorder="1" applyAlignment="1">
      <alignment vertical="center"/>
    </xf>
    <xf numFmtId="182" fontId="0" fillId="0" borderId="0" xfId="1" applyNumberFormat="1" applyFont="1" applyBorder="1"/>
    <xf numFmtId="186" fontId="35" fillId="13" borderId="1" xfId="0" applyNumberFormat="1" applyFont="1" applyFill="1" applyBorder="1"/>
    <xf numFmtId="191" fontId="0" fillId="0" borderId="1" xfId="1" applyNumberFormat="1" applyFont="1" applyBorder="1"/>
    <xf numFmtId="186" fontId="36" fillId="3" borderId="1" xfId="0" applyNumberFormat="1" applyFont="1" applyFill="1" applyBorder="1"/>
    <xf numFmtId="186" fontId="41" fillId="3" borderId="1" xfId="0" applyNumberFormat="1" applyFont="1" applyFill="1" applyBorder="1"/>
    <xf numFmtId="0" fontId="0" fillId="0" borderId="1" xfId="0" applyBorder="1" applyAlignment="1">
      <alignment horizontal="left" wrapText="1"/>
    </xf>
    <xf numFmtId="0" fontId="38" fillId="12" borderId="9" xfId="0" applyFont="1" applyFill="1" applyBorder="1" applyAlignment="1">
      <alignment horizontal="center" wrapText="1"/>
    </xf>
    <xf numFmtId="0" fontId="38" fillId="12" borderId="10" xfId="0" applyFont="1" applyFill="1" applyBorder="1" applyAlignment="1">
      <alignment horizontal="center" wrapText="1"/>
    </xf>
    <xf numFmtId="0" fontId="38" fillId="12" borderId="11" xfId="0" applyFont="1" applyFill="1" applyBorder="1" applyAlignment="1">
      <alignment horizontal="center" wrapText="1"/>
    </xf>
    <xf numFmtId="186" fontId="3" fillId="12" borderId="1" xfId="1" applyNumberFormat="1" applyFont="1" applyFill="1" applyBorder="1" applyAlignment="1">
      <alignment vertical="center"/>
    </xf>
    <xf numFmtId="0" fontId="3" fillId="12" borderId="9" xfId="0" applyFont="1" applyFill="1" applyBorder="1" applyAlignment="1">
      <alignment horizontal="center" wrapText="1"/>
    </xf>
    <xf numFmtId="0" fontId="3" fillId="12" borderId="10" xfId="0" applyFont="1" applyFill="1" applyBorder="1" applyAlignment="1">
      <alignment horizontal="center" wrapText="1"/>
    </xf>
    <xf numFmtId="0" fontId="3" fillId="12" borderId="11" xfId="0" applyFont="1" applyFill="1" applyBorder="1" applyAlignment="1">
      <alignment horizontal="center" wrapText="1"/>
    </xf>
    <xf numFmtId="0" fontId="41" fillId="3" borderId="9" xfId="0" applyFont="1" applyFill="1" applyBorder="1" applyAlignment="1">
      <alignment horizontal="center" wrapText="1"/>
    </xf>
    <xf numFmtId="0" fontId="41" fillId="3" borderId="10" xfId="0" applyFont="1" applyFill="1" applyBorder="1" applyAlignment="1">
      <alignment horizontal="center" wrapText="1"/>
    </xf>
    <xf numFmtId="0" fontId="41" fillId="3" borderId="11" xfId="0" applyFont="1" applyFill="1" applyBorder="1" applyAlignment="1">
      <alignment horizontal="center" wrapText="1"/>
    </xf>
    <xf numFmtId="0" fontId="0" fillId="0" borderId="0" xfId="0" applyAlignment="1">
      <alignment wrapText="1"/>
    </xf>
    <xf numFmtId="0" fontId="51" fillId="3" borderId="0" xfId="0" applyFont="1" applyFill="1" applyAlignment="1">
      <alignment horizontal="center"/>
    </xf>
    <xf numFmtId="0" fontId="35" fillId="2" borderId="1" xfId="0" applyFont="1" applyFill="1" applyBorder="1" applyAlignment="1">
      <alignment vertical="center"/>
    </xf>
    <xf numFmtId="0" fontId="35" fillId="2" borderId="1" xfId="0" applyFont="1" applyFill="1" applyBorder="1" applyAlignment="1">
      <alignment horizontal="center" vertical="center"/>
    </xf>
    <xf numFmtId="182" fontId="36" fillId="0" borderId="1" xfId="1" applyNumberFormat="1" applyFont="1" applyFill="1" applyBorder="1" applyAlignment="1">
      <alignment horizontal="center"/>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37" fillId="7" borderId="1" xfId="0" applyFont="1" applyFill="1" applyBorder="1" applyAlignment="1">
      <alignment horizontal="left" wrapText="1" indent="2"/>
    </xf>
    <xf numFmtId="0" fontId="0" fillId="7" borderId="1" xfId="0" applyFill="1" applyBorder="1" applyAlignment="1">
      <alignment horizontal="center"/>
    </xf>
    <xf numFmtId="182" fontId="36" fillId="7" borderId="1" xfId="1" applyNumberFormat="1" applyFont="1" applyFill="1" applyBorder="1" applyAlignment="1">
      <alignment horizontal="center"/>
    </xf>
    <xf numFmtId="182" fontId="0" fillId="7" borderId="1" xfId="0" applyNumberFormat="1" applyFill="1" applyBorder="1"/>
    <xf numFmtId="0" fontId="0" fillId="7" borderId="1" xfId="0" applyFill="1" applyBorder="1" applyAlignment="1">
      <alignment horizontal="center" vertical="center"/>
    </xf>
    <xf numFmtId="182" fontId="36" fillId="7" borderId="1" xfId="1" applyNumberFormat="1" applyFont="1" applyFill="1" applyBorder="1" applyAlignment="1">
      <alignment horizontal="center" vertical="center"/>
    </xf>
    <xf numFmtId="182" fontId="0" fillId="7" borderId="1" xfId="0" applyNumberFormat="1" applyFill="1" applyBorder="1" applyAlignment="1">
      <alignment vertical="center"/>
    </xf>
    <xf numFmtId="0" fontId="36" fillId="0" borderId="1" xfId="0" applyFont="1" applyBorder="1"/>
    <xf numFmtId="0" fontId="35" fillId="2" borderId="9" xfId="0" applyFont="1" applyFill="1" applyBorder="1" applyAlignment="1">
      <alignment horizontal="center"/>
    </xf>
    <xf numFmtId="0" fontId="35" fillId="2" borderId="10" xfId="0" applyFont="1" applyFill="1" applyBorder="1" applyAlignment="1">
      <alignment horizontal="center"/>
    </xf>
    <xf numFmtId="0" fontId="35" fillId="2" borderId="11" xfId="0" applyFont="1" applyFill="1" applyBorder="1" applyAlignment="1">
      <alignment horizontal="center"/>
    </xf>
    <xf numFmtId="182" fontId="35" fillId="2" borderId="1" xfId="1" applyNumberFormat="1" applyFont="1" applyFill="1" applyBorder="1"/>
    <xf numFmtId="0" fontId="36" fillId="0" borderId="0" xfId="0" applyFont="1" applyAlignment="1">
      <alignment horizontal="center"/>
    </xf>
    <xf numFmtId="182" fontId="36" fillId="0" borderId="0" xfId="1" applyNumberFormat="1" applyFont="1" applyFill="1" applyBorder="1" applyAlignment="1">
      <alignment horizontal="center"/>
    </xf>
    <xf numFmtId="0" fontId="36" fillId="0" borderId="0" xfId="0" applyFont="1" applyAlignment="1">
      <alignment wrapText="1"/>
    </xf>
    <xf numFmtId="0" fontId="37" fillId="0" borderId="0" xfId="0" applyFont="1" applyAlignment="1">
      <alignment horizontal="left" indent="1"/>
    </xf>
    <xf numFmtId="182" fontId="35" fillId="0" borderId="0" xfId="0" applyNumberFormat="1" applyFont="1"/>
    <xf numFmtId="182" fontId="0" fillId="0" borderId="0" xfId="1" applyNumberFormat="1" applyFont="1" applyFill="1" applyBorder="1" applyAlignment="1">
      <alignment vertical="center"/>
    </xf>
    <xf numFmtId="0" fontId="35" fillId="0" borderId="0" xfId="0" applyFont="1" applyAlignment="1">
      <alignment vertical="center"/>
    </xf>
    <xf numFmtId="9" fontId="35" fillId="0" borderId="0" xfId="0" applyNumberFormat="1" applyFont="1" applyAlignment="1">
      <alignment vertical="center"/>
    </xf>
    <xf numFmtId="182" fontId="35" fillId="0" borderId="0" xfId="1" applyNumberFormat="1" applyFont="1" applyFill="1" applyBorder="1"/>
    <xf numFmtId="9" fontId="0" fillId="0" borderId="0" xfId="3" applyFont="1" applyFill="1" applyBorder="1" applyAlignment="1">
      <alignment vertical="center"/>
    </xf>
    <xf numFmtId="0" fontId="3" fillId="0" borderId="0" xfId="0" applyFont="1" applyAlignment="1">
      <alignment horizontal="center" vertical="center"/>
    </xf>
    <xf numFmtId="176" fontId="3" fillId="0" borderId="0" xfId="0" applyNumberFormat="1" applyFont="1"/>
    <xf numFmtId="0" fontId="3" fillId="0" borderId="0" xfId="0" applyFont="1" applyAlignment="1">
      <alignment horizontal="left" wrapText="1"/>
    </xf>
    <xf numFmtId="182" fontId="3" fillId="0" borderId="0" xfId="0" applyNumberFormat="1" applyFont="1"/>
    <xf numFmtId="176" fontId="0" fillId="0" borderId="0" xfId="1" applyFont="1" applyFill="1" applyBorder="1" applyAlignment="1">
      <alignment vertical="center"/>
    </xf>
    <xf numFmtId="182" fontId="3" fillId="0" borderId="0" xfId="0" applyNumberFormat="1" applyFont="1" applyAlignment="1">
      <alignment vertical="center"/>
    </xf>
    <xf numFmtId="0" fontId="3" fillId="0" borderId="0" xfId="0" applyFont="1" applyAlignment="1">
      <alignment horizontal="center" vertical="center" wrapText="1"/>
    </xf>
    <xf numFmtId="182" fontId="0" fillId="0" borderId="1" xfId="1" applyNumberFormat="1" applyFont="1" applyFill="1" applyBorder="1" applyAlignment="1">
      <alignment horizontal="center" vertical="center" wrapText="1"/>
    </xf>
    <xf numFmtId="176" fontId="0" fillId="0" borderId="1" xfId="1" applyFont="1" applyBorder="1" applyAlignment="1">
      <alignment horizontal="center" vertical="center" wrapText="1"/>
    </xf>
    <xf numFmtId="182" fontId="0" fillId="0" borderId="12" xfId="1" applyNumberFormat="1" applyFont="1" applyFill="1" applyBorder="1" applyAlignment="1">
      <alignment horizontal="center" vertical="center" wrapText="1"/>
    </xf>
    <xf numFmtId="9" fontId="0" fillId="0" borderId="0" xfId="3" applyFont="1" applyFill="1" applyBorder="1" applyAlignment="1">
      <alignment horizontal="center" vertical="center"/>
    </xf>
    <xf numFmtId="0" fontId="3" fillId="0" borderId="0" xfId="0" applyFont="1" applyAlignment="1">
      <alignment wrapText="1"/>
    </xf>
    <xf numFmtId="184" fontId="3" fillId="0" borderId="0" xfId="3" applyNumberFormat="1" applyFont="1" applyFill="1" applyBorder="1" applyAlignment="1">
      <alignment horizontal="center" vertical="center"/>
    </xf>
    <xf numFmtId="182" fontId="3" fillId="0" borderId="0" xfId="1" applyNumberFormat="1" applyFont="1" applyFill="1" applyBorder="1" applyAlignment="1">
      <alignment vertical="center"/>
    </xf>
    <xf numFmtId="0" fontId="35" fillId="0" borderId="0" xfId="0" applyFont="1" applyAlignment="1">
      <alignment wrapText="1"/>
    </xf>
    <xf numFmtId="182" fontId="3" fillId="0" borderId="0" xfId="1" applyNumberFormat="1" applyFont="1" applyFill="1" applyBorder="1"/>
    <xf numFmtId="182" fontId="0" fillId="0" borderId="0" xfId="1" applyNumberFormat="1" applyFont="1" applyFill="1" applyBorder="1" applyAlignment="1">
      <alignment horizontal="center" vertical="center"/>
    </xf>
    <xf numFmtId="0" fontId="3" fillId="0" borderId="0" xfId="0" applyFont="1" applyAlignment="1">
      <alignment horizontal="center"/>
    </xf>
    <xf numFmtId="9" fontId="3" fillId="0" borderId="0" xfId="3" applyFont="1" applyFill="1" applyBorder="1" applyAlignment="1">
      <alignment horizontal="center" vertical="center"/>
    </xf>
    <xf numFmtId="9" fontId="0" fillId="0" borderId="0" xfId="3" applyFont="1" applyFill="1" applyBorder="1"/>
    <xf numFmtId="0" fontId="35" fillId="0" borderId="0" xfId="0" applyFont="1" applyAlignment="1">
      <alignment horizontal="center" wrapText="1"/>
    </xf>
    <xf numFmtId="182" fontId="35" fillId="0" borderId="0" xfId="0" applyNumberFormat="1" applyFont="1" applyAlignment="1">
      <alignment horizontal="center"/>
    </xf>
    <xf numFmtId="0" fontId="2" fillId="13" borderId="0" xfId="0" applyFont="1" applyFill="1" applyAlignment="1">
      <alignment horizontal="center" vertical="center" wrapText="1"/>
    </xf>
    <xf numFmtId="0" fontId="65" fillId="3" borderId="0" xfId="0" applyFont="1" applyFill="1" applyAlignment="1">
      <alignment horizontal="center" vertical="center"/>
    </xf>
    <xf numFmtId="0" fontId="35" fillId="13" borderId="1" xfId="0" applyFont="1" applyFill="1" applyBorder="1" applyAlignment="1">
      <alignment horizontal="center" vertical="center" wrapText="1"/>
    </xf>
    <xf numFmtId="9" fontId="35" fillId="13" borderId="7" xfId="3" applyFont="1" applyFill="1" applyBorder="1"/>
    <xf numFmtId="182" fontId="45" fillId="13" borderId="7" xfId="1" applyNumberFormat="1" applyFont="1" applyFill="1" applyBorder="1" applyAlignment="1">
      <alignment horizontal="center" vertical="center"/>
    </xf>
    <xf numFmtId="182" fontId="45" fillId="13" borderId="1" xfId="1" applyNumberFormat="1" applyFont="1" applyFill="1" applyBorder="1" applyAlignment="1">
      <alignment horizontal="center" vertical="center"/>
    </xf>
    <xf numFmtId="0" fontId="58" fillId="0" borderId="0" xfId="0" applyFont="1" applyAlignment="1">
      <alignment horizontal="center" vertical="center"/>
    </xf>
    <xf numFmtId="0" fontId="2" fillId="0" borderId="0" xfId="0" applyFont="1" applyAlignment="1">
      <alignment vertical="center" wrapText="1"/>
    </xf>
    <xf numFmtId="0" fontId="65" fillId="0" borderId="0" xfId="0" applyFont="1" applyAlignment="1">
      <alignment vertical="center"/>
    </xf>
    <xf numFmtId="0" fontId="65" fillId="0" borderId="0" xfId="0" applyFont="1" applyAlignment="1">
      <alignment horizontal="center" vertical="center"/>
    </xf>
    <xf numFmtId="176" fontId="43" fillId="0" borderId="3" xfId="1" applyFont="1" applyFill="1" applyBorder="1" applyAlignment="1">
      <alignment horizontal="center" vertical="center"/>
    </xf>
    <xf numFmtId="182" fontId="35" fillId="13" borderId="7" xfId="1" applyNumberFormat="1" applyFont="1" applyFill="1" applyBorder="1" applyAlignment="1">
      <alignment horizontal="center" vertical="center"/>
    </xf>
    <xf numFmtId="182" fontId="35" fillId="13" borderId="1" xfId="1" applyNumberFormat="1" applyFont="1" applyFill="1" applyBorder="1" applyAlignment="1">
      <alignment horizontal="center" vertical="center"/>
    </xf>
    <xf numFmtId="0" fontId="51" fillId="7" borderId="0" xfId="0" applyFont="1" applyFill="1" applyAlignment="1">
      <alignment horizontal="center"/>
    </xf>
    <xf numFmtId="0" fontId="64" fillId="2" borderId="1" xfId="0" applyFont="1" applyFill="1" applyBorder="1" applyAlignment="1">
      <alignment horizontal="center" vertical="center"/>
    </xf>
    <xf numFmtId="0" fontId="64" fillId="2" borderId="1" xfId="0" applyFont="1" applyFill="1" applyBorder="1" applyAlignment="1">
      <alignment horizontal="center" vertical="center" wrapText="1"/>
    </xf>
    <xf numFmtId="0" fontId="64" fillId="0" borderId="0" xfId="0" applyFont="1" applyAlignment="1">
      <alignment horizontal="center" vertical="center"/>
    </xf>
    <xf numFmtId="0" fontId="64" fillId="0" borderId="0" xfId="0" applyFont="1" applyAlignment="1">
      <alignment horizontal="center" vertical="center" wrapText="1"/>
    </xf>
    <xf numFmtId="0" fontId="59" fillId="0" borderId="1" xfId="0" applyFont="1" applyBorder="1" applyAlignment="1">
      <alignment horizontal="center"/>
    </xf>
    <xf numFmtId="176" fontId="59" fillId="0" borderId="1" xfId="1" applyFont="1" applyBorder="1" applyAlignment="1">
      <alignment horizontal="center"/>
    </xf>
    <xf numFmtId="0" fontId="59" fillId="0" borderId="0" xfId="0" applyFont="1" applyAlignment="1">
      <alignment horizontal="center"/>
    </xf>
    <xf numFmtId="0" fontId="64" fillId="2" borderId="1" xfId="0" applyFont="1" applyFill="1" applyBorder="1" applyAlignment="1">
      <alignment horizontal="center"/>
    </xf>
    <xf numFmtId="0" fontId="36" fillId="0" borderId="1" xfId="0" applyFont="1" applyBorder="1" applyAlignment="1">
      <alignment horizontal="center"/>
    </xf>
    <xf numFmtId="191" fontId="36" fillId="0" borderId="1" xfId="1" applyNumberFormat="1" applyFont="1" applyFill="1" applyBorder="1"/>
    <xf numFmtId="191" fontId="41" fillId="0" borderId="1" xfId="0" applyNumberFormat="1" applyFont="1" applyBorder="1"/>
    <xf numFmtId="0" fontId="51" fillId="0" borderId="0" xfId="0" applyFont="1" applyAlignment="1">
      <alignment horizontal="center" vertical="center" wrapText="1"/>
    </xf>
    <xf numFmtId="191" fontId="41" fillId="0" borderId="1" xfId="1" applyNumberFormat="1" applyFont="1" applyFill="1" applyBorder="1"/>
    <xf numFmtId="191" fontId="51" fillId="0" borderId="0" xfId="0" applyNumberFormat="1" applyFont="1" applyAlignment="1">
      <alignment horizontal="center"/>
    </xf>
    <xf numFmtId="191" fontId="36" fillId="0" borderId="0" xfId="1" applyNumberFormat="1" applyFont="1" applyFill="1" applyBorder="1"/>
    <xf numFmtId="191" fontId="41" fillId="0" borderId="0" xfId="0" applyNumberFormat="1" applyFont="1"/>
    <xf numFmtId="191" fontId="36" fillId="0" borderId="1" xfId="0" applyNumberFormat="1" applyFont="1" applyBorder="1"/>
    <xf numFmtId="182" fontId="36" fillId="0" borderId="1" xfId="1" applyNumberFormat="1" applyFont="1" applyFill="1" applyBorder="1"/>
    <xf numFmtId="182" fontId="36" fillId="0" borderId="1" xfId="0" applyNumberFormat="1" applyFont="1" applyBorder="1"/>
    <xf numFmtId="1" fontId="36" fillId="0" borderId="0" xfId="0" applyNumberFormat="1" applyFont="1"/>
    <xf numFmtId="182" fontId="36" fillId="0" borderId="0" xfId="1" applyNumberFormat="1" applyFont="1"/>
    <xf numFmtId="191" fontId="41" fillId="0" borderId="0" xfId="1" applyNumberFormat="1" applyFont="1" applyFill="1" applyBorder="1"/>
    <xf numFmtId="0" fontId="41" fillId="0" borderId="0" xfId="0" applyFont="1" applyAlignment="1">
      <alignment horizontal="center" vertical="center"/>
    </xf>
    <xf numFmtId="0" fontId="41" fillId="0" borderId="0" xfId="0" applyFont="1" applyAlignment="1">
      <alignment horizontal="center" vertical="center" wrapText="1"/>
    </xf>
    <xf numFmtId="191" fontId="36" fillId="0" borderId="0" xfId="0" applyNumberFormat="1" applyFont="1"/>
    <xf numFmtId="0" fontId="66" fillId="0" borderId="0" xfId="0" applyFont="1" applyAlignment="1">
      <alignment horizontal="center"/>
    </xf>
    <xf numFmtId="176" fontId="36" fillId="0" borderId="1" xfId="1" applyFont="1" applyFill="1" applyBorder="1"/>
    <xf numFmtId="182" fontId="67" fillId="0" borderId="1" xfId="0" applyNumberFormat="1" applyFont="1" applyBorder="1"/>
    <xf numFmtId="182" fontId="67" fillId="0" borderId="0" xfId="0" applyNumberFormat="1" applyFont="1"/>
    <xf numFmtId="0" fontId="36" fillId="0" borderId="1" xfId="0" applyFont="1" applyBorder="1" applyAlignment="1">
      <alignment horizontal="center" vertical="center"/>
    </xf>
    <xf numFmtId="182" fontId="0" fillId="0" borderId="1" xfId="1" applyNumberFormat="1" applyFont="1" applyFill="1" applyBorder="1" applyAlignment="1">
      <alignment horizontal="center"/>
    </xf>
    <xf numFmtId="205" fontId="0" fillId="0" borderId="1" xfId="1" applyNumberFormat="1" applyFont="1" applyFill="1" applyBorder="1" applyAlignment="1">
      <alignment horizontal="center"/>
    </xf>
    <xf numFmtId="9" fontId="0" fillId="0" borderId="1" xfId="3" applyFont="1" applyFill="1" applyBorder="1" applyAlignment="1">
      <alignment horizontal="center"/>
    </xf>
    <xf numFmtId="9" fontId="14" fillId="0" borderId="0" xfId="0" applyNumberFormat="1" applyFont="1"/>
    <xf numFmtId="4" fontId="35" fillId="2" borderId="1" xfId="0" applyNumberFormat="1" applyFont="1" applyFill="1" applyBorder="1"/>
    <xf numFmtId="0" fontId="0" fillId="12" borderId="1" xfId="0" applyFill="1" applyBorder="1" applyAlignment="1">
      <alignment horizontal="left" indent="2"/>
    </xf>
    <xf numFmtId="4" fontId="0" fillId="12" borderId="1" xfId="0" applyNumberFormat="1" applyFill="1" applyBorder="1"/>
    <xf numFmtId="0" fontId="0" fillId="12" borderId="1" xfId="0" applyFill="1" applyBorder="1"/>
    <xf numFmtId="0" fontId="35" fillId="2" borderId="1" xfId="0" applyFont="1" applyFill="1" applyBorder="1" applyAlignment="1">
      <alignment horizontal="left" indent="2"/>
    </xf>
    <xf numFmtId="0" fontId="0" fillId="0" borderId="0" xfId="0" applyAlignment="1">
      <alignment horizontal="left" indent="2"/>
    </xf>
    <xf numFmtId="0" fontId="35" fillId="2" borderId="0" xfId="0" applyFont="1" applyFill="1" applyAlignment="1">
      <alignment horizontal="left" indent="2"/>
    </xf>
    <xf numFmtId="4" fontId="35" fillId="2" borderId="0" xfId="0" applyNumberFormat="1" applyFont="1" applyFill="1"/>
    <xf numFmtId="0" fontId="35" fillId="2" borderId="0" xfId="0" applyFont="1" applyFill="1"/>
    <xf numFmtId="3" fontId="35" fillId="2" borderId="1" xfId="0" applyNumberFormat="1" applyFont="1" applyFill="1" applyBorder="1"/>
    <xf numFmtId="3" fontId="0" fillId="12" borderId="1" xfId="0" applyNumberFormat="1" applyFill="1" applyBorder="1"/>
    <xf numFmtId="4" fontId="0" fillId="0" borderId="0" xfId="0" applyNumberFormat="1"/>
    <xf numFmtId="0" fontId="35" fillId="13" borderId="0" xfId="0" applyFont="1" applyFill="1" applyAlignment="1">
      <alignment horizontal="left"/>
    </xf>
    <xf numFmtId="3" fontId="35" fillId="13" borderId="1" xfId="0" applyNumberFormat="1" applyFont="1" applyFill="1" applyBorder="1"/>
    <xf numFmtId="182" fontId="0" fillId="0" borderId="1" xfId="1" applyNumberFormat="1" applyFont="1" applyBorder="1" applyAlignment="1">
      <alignment horizontal="center"/>
    </xf>
    <xf numFmtId="0" fontId="0" fillId="0" borderId="1" xfId="0" applyBorder="1" applyAlignment="1">
      <alignment wrapText="1"/>
    </xf>
    <xf numFmtId="182" fontId="0" fillId="12" borderId="1" xfId="1" applyNumberFormat="1" applyFont="1" applyFill="1" applyBorder="1"/>
    <xf numFmtId="0" fontId="0" fillId="0" borderId="1" xfId="0" applyBorder="1" applyAlignment="1">
      <alignment horizontal="left" indent="1"/>
    </xf>
    <xf numFmtId="0" fontId="3" fillId="12" borderId="1" xfId="0" applyFont="1" applyFill="1" applyBorder="1" applyAlignment="1">
      <alignment horizontal="center"/>
    </xf>
    <xf numFmtId="182" fontId="3" fillId="12" borderId="1" xfId="0" applyNumberFormat="1" applyFont="1" applyFill="1" applyBorder="1" applyAlignment="1">
      <alignment horizontal="center"/>
    </xf>
    <xf numFmtId="0" fontId="35" fillId="2" borderId="1" xfId="0" applyFont="1" applyFill="1" applyBorder="1" applyAlignment="1">
      <alignment horizontal="center"/>
    </xf>
    <xf numFmtId="17" fontId="35" fillId="2" borderId="1" xfId="0" applyNumberFormat="1" applyFont="1" applyFill="1" applyBorder="1" applyAlignment="1">
      <alignment horizontal="center"/>
    </xf>
    <xf numFmtId="0" fontId="51" fillId="12" borderId="0" xfId="0" applyFont="1" applyFill="1" applyAlignment="1">
      <alignment horizontal="center" vertical="center"/>
    </xf>
    <xf numFmtId="0" fontId="16" fillId="2" borderId="34" xfId="0" applyFont="1" applyFill="1" applyBorder="1" applyAlignment="1">
      <alignment vertical="center"/>
    </xf>
    <xf numFmtId="0" fontId="16" fillId="2" borderId="35" xfId="0" applyFont="1" applyFill="1" applyBorder="1" applyAlignment="1">
      <alignment vertical="center"/>
    </xf>
    <xf numFmtId="0" fontId="16" fillId="2" borderId="34"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34" xfId="0" applyFont="1" applyFill="1" applyBorder="1" applyAlignment="1">
      <alignment horizontal="center" vertical="center"/>
    </xf>
    <xf numFmtId="0" fontId="16" fillId="2" borderId="41" xfId="0" applyFont="1" applyFill="1" applyBorder="1" applyAlignment="1">
      <alignment horizontal="center" vertical="center"/>
    </xf>
    <xf numFmtId="0" fontId="14" fillId="0" borderId="0" xfId="0" applyFont="1" applyAlignment="1">
      <alignment horizontal="center" vertical="center"/>
    </xf>
    <xf numFmtId="0" fontId="16" fillId="2" borderId="42" xfId="0" applyFont="1" applyFill="1" applyBorder="1" applyAlignment="1">
      <alignment horizontal="center" vertical="center"/>
    </xf>
    <xf numFmtId="0" fontId="16" fillId="2" borderId="30" xfId="0" applyFont="1" applyFill="1" applyBorder="1" applyAlignment="1">
      <alignment horizontal="center" vertical="center"/>
    </xf>
    <xf numFmtId="0" fontId="16" fillId="2" borderId="30" xfId="0" applyFont="1" applyFill="1" applyBorder="1" applyAlignment="1">
      <alignment horizontal="center" vertical="center" wrapText="1"/>
    </xf>
    <xf numFmtId="188" fontId="14" fillId="0" borderId="0" xfId="0" applyNumberFormat="1" applyFont="1"/>
    <xf numFmtId="188" fontId="14" fillId="0" borderId="1" xfId="1" applyNumberFormat="1" applyFont="1" applyFill="1" applyBorder="1" applyAlignment="1">
      <alignment horizontal="center"/>
    </xf>
    <xf numFmtId="3" fontId="14" fillId="0" borderId="1" xfId="0" applyNumberFormat="1" applyFont="1" applyBorder="1"/>
    <xf numFmtId="0" fontId="15" fillId="7" borderId="1" xfId="0" applyFont="1" applyFill="1" applyBorder="1" applyAlignment="1">
      <alignment horizontal="center"/>
    </xf>
    <xf numFmtId="188" fontId="15" fillId="7" borderId="1" xfId="1" applyNumberFormat="1" applyFont="1" applyFill="1" applyBorder="1" applyAlignment="1">
      <alignment horizontal="center"/>
    </xf>
    <xf numFmtId="3" fontId="15" fillId="7" borderId="1" xfId="0" applyNumberFormat="1" applyFont="1" applyFill="1" applyBorder="1"/>
    <xf numFmtId="188" fontId="14" fillId="0" borderId="1" xfId="1" applyNumberFormat="1" applyFont="1" applyBorder="1" applyAlignment="1">
      <alignment horizontal="center"/>
    </xf>
    <xf numFmtId="0" fontId="14" fillId="0" borderId="0" xfId="0" applyFont="1" applyAlignment="1">
      <alignment horizontal="left" vertical="top" wrapText="1"/>
    </xf>
    <xf numFmtId="0" fontId="51" fillId="0" borderId="0" xfId="0" applyFont="1"/>
    <xf numFmtId="9" fontId="14" fillId="0" borderId="0" xfId="3" applyFont="1"/>
    <xf numFmtId="0" fontId="16" fillId="2" borderId="35" xfId="0" applyFont="1" applyFill="1" applyBorder="1" applyAlignment="1">
      <alignment horizontal="center" vertical="center"/>
    </xf>
    <xf numFmtId="0" fontId="16" fillId="2" borderId="41" xfId="0" applyFont="1" applyFill="1" applyBorder="1" applyAlignment="1">
      <alignment horizontal="center" vertical="center" wrapText="1"/>
    </xf>
    <xf numFmtId="0" fontId="16" fillId="13" borderId="31" xfId="0" applyFont="1" applyFill="1" applyBorder="1" applyAlignment="1">
      <alignment horizontal="center" vertical="center" wrapText="1"/>
    </xf>
    <xf numFmtId="0" fontId="16" fillId="13" borderId="30" xfId="0" applyFont="1" applyFill="1" applyBorder="1" applyAlignment="1">
      <alignment horizontal="center" vertical="center" wrapText="1"/>
    </xf>
    <xf numFmtId="202" fontId="14" fillId="0" borderId="1" xfId="1" applyNumberFormat="1" applyFont="1" applyFill="1" applyBorder="1"/>
    <xf numFmtId="191" fontId="14" fillId="0" borderId="1" xfId="1" applyNumberFormat="1" applyFont="1" applyFill="1" applyBorder="1"/>
    <xf numFmtId="191" fontId="14" fillId="6" borderId="1" xfId="1" applyNumberFormat="1" applyFont="1" applyFill="1" applyBorder="1"/>
    <xf numFmtId="202" fontId="15" fillId="7" borderId="1" xfId="1" applyNumberFormat="1" applyFont="1" applyFill="1" applyBorder="1"/>
    <xf numFmtId="191" fontId="15" fillId="7" borderId="1" xfId="1" applyNumberFormat="1" applyFont="1" applyFill="1" applyBorder="1"/>
    <xf numFmtId="182" fontId="15" fillId="7" borderId="1" xfId="1" applyNumberFormat="1" applyFont="1" applyFill="1" applyBorder="1"/>
    <xf numFmtId="191" fontId="14" fillId="0" borderId="1" xfId="1" applyNumberFormat="1" applyFont="1" applyBorder="1"/>
    <xf numFmtId="0" fontId="16" fillId="2" borderId="31" xfId="0" applyFont="1" applyFill="1" applyBorder="1" applyAlignment="1">
      <alignment horizontal="center" vertical="center" wrapText="1"/>
    </xf>
    <xf numFmtId="0" fontId="41" fillId="12" borderId="13" xfId="0" applyFont="1" applyFill="1" applyBorder="1" applyAlignment="1">
      <alignment horizontal="center" vertical="center" wrapText="1"/>
    </xf>
    <xf numFmtId="206" fontId="14" fillId="0" borderId="1" xfId="0" applyNumberFormat="1" applyFont="1" applyBorder="1"/>
    <xf numFmtId="199" fontId="14" fillId="0" borderId="1" xfId="0" applyNumberFormat="1" applyFont="1" applyBorder="1"/>
    <xf numFmtId="202" fontId="14" fillId="0" borderId="1" xfId="0" applyNumberFormat="1" applyFont="1" applyBorder="1"/>
    <xf numFmtId="206" fontId="15" fillId="7" borderId="1" xfId="0" applyNumberFormat="1" applyFont="1" applyFill="1" applyBorder="1"/>
    <xf numFmtId="199" fontId="15" fillId="7" borderId="1" xfId="0" applyNumberFormat="1" applyFont="1" applyFill="1" applyBorder="1"/>
    <xf numFmtId="176" fontId="14" fillId="0" borderId="1" xfId="1" applyFont="1" applyBorder="1"/>
    <xf numFmtId="182" fontId="36" fillId="0" borderId="0" xfId="1" applyNumberFormat="1" applyFont="1" applyBorder="1"/>
    <xf numFmtId="184" fontId="0" fillId="0" borderId="1" xfId="3" applyNumberFormat="1" applyFont="1" applyFill="1" applyBorder="1" applyAlignment="1">
      <alignment horizontal="center"/>
    </xf>
    <xf numFmtId="176" fontId="59" fillId="0" borderId="0" xfId="1" applyFont="1" applyFill="1"/>
    <xf numFmtId="0" fontId="65" fillId="3" borderId="0" xfId="0" applyFont="1" applyFill="1" applyAlignment="1">
      <alignment horizontal="center"/>
    </xf>
    <xf numFmtId="191" fontId="15" fillId="0" borderId="0" xfId="0" applyNumberFormat="1" applyFont="1"/>
    <xf numFmtId="191" fontId="15" fillId="0" borderId="0" xfId="1" applyNumberFormat="1" applyFont="1" applyFill="1" applyBorder="1"/>
    <xf numFmtId="0" fontId="16" fillId="2" borderId="1" xfId="0" applyFont="1" applyFill="1" applyBorder="1" applyAlignment="1">
      <alignment horizontal="center" vertical="center" wrapText="1"/>
    </xf>
    <xf numFmtId="0" fontId="14" fillId="0" borderId="1" xfId="0" applyFont="1" applyBorder="1" applyAlignment="1">
      <alignment horizontal="left"/>
    </xf>
    <xf numFmtId="184" fontId="14" fillId="0" borderId="1" xfId="3" applyNumberFormat="1" applyFont="1" applyFill="1" applyBorder="1" applyAlignment="1">
      <alignment horizontal="right" vertical="center"/>
    </xf>
    <xf numFmtId="201" fontId="14" fillId="0" borderId="1" xfId="1" applyNumberFormat="1" applyFont="1" applyFill="1" applyBorder="1"/>
    <xf numFmtId="201" fontId="14" fillId="0" borderId="1" xfId="0" applyNumberFormat="1" applyFont="1" applyBorder="1"/>
    <xf numFmtId="201" fontId="14" fillId="0" borderId="1" xfId="0" applyNumberFormat="1" applyFont="1" applyBorder="1" applyAlignment="1">
      <alignment horizontal="center"/>
    </xf>
    <xf numFmtId="0" fontId="14" fillId="0" borderId="1" xfId="0" applyFont="1" applyBorder="1" applyAlignment="1">
      <alignment horizontal="left" vertical="center"/>
    </xf>
    <xf numFmtId="0" fontId="14" fillId="0" borderId="1" xfId="0" applyFont="1" applyBorder="1" applyAlignment="1">
      <alignment vertical="center"/>
    </xf>
    <xf numFmtId="201" fontId="14" fillId="0" borderId="1" xfId="1" applyNumberFormat="1" applyFont="1" applyFill="1" applyBorder="1" applyAlignment="1">
      <alignment vertical="center"/>
    </xf>
    <xf numFmtId="201" fontId="14" fillId="0" borderId="1" xfId="0" applyNumberFormat="1" applyFont="1" applyBorder="1" applyAlignment="1">
      <alignment horizontal="center" vertical="center"/>
    </xf>
    <xf numFmtId="201" fontId="14" fillId="0" borderId="1" xfId="0" applyNumberFormat="1" applyFont="1" applyBorder="1" applyAlignment="1">
      <alignment vertical="center"/>
    </xf>
    <xf numFmtId="0" fontId="16" fillId="2" borderId="1" xfId="0" applyFont="1" applyFill="1" applyBorder="1" applyAlignment="1">
      <alignment horizontal="left"/>
    </xf>
    <xf numFmtId="184" fontId="16" fillId="2" borderId="1" xfId="3" applyNumberFormat="1" applyFont="1" applyFill="1" applyBorder="1" applyAlignment="1">
      <alignment horizontal="center"/>
    </xf>
    <xf numFmtId="0" fontId="16" fillId="2" borderId="1" xfId="0" applyFont="1" applyFill="1" applyBorder="1"/>
    <xf numFmtId="201" fontId="16" fillId="2" borderId="1" xfId="1" applyNumberFormat="1" applyFont="1" applyFill="1" applyBorder="1"/>
    <xf numFmtId="0" fontId="16" fillId="2" borderId="1" xfId="0" applyFont="1" applyFill="1" applyBorder="1" applyAlignment="1">
      <alignment horizontal="center" vertical="center"/>
    </xf>
    <xf numFmtId="0" fontId="68" fillId="0" borderId="0" xfId="0" applyFont="1" applyAlignment="1">
      <alignment vertical="center"/>
    </xf>
    <xf numFmtId="182" fontId="14" fillId="0" borderId="1" xfId="1" applyNumberFormat="1" applyFont="1" applyFill="1" applyBorder="1" applyAlignment="1">
      <alignment horizontal="center"/>
    </xf>
    <xf numFmtId="207" fontId="15" fillId="0" borderId="1" xfId="0" applyNumberFormat="1" applyFont="1" applyBorder="1" applyAlignment="1">
      <alignment horizontal="center"/>
    </xf>
    <xf numFmtId="199" fontId="14" fillId="0" borderId="1" xfId="0" applyNumberFormat="1" applyFont="1" applyBorder="1" applyAlignment="1">
      <alignment horizontal="center"/>
    </xf>
    <xf numFmtId="3" fontId="14" fillId="0" borderId="1" xfId="0" applyNumberFormat="1" applyFont="1" applyBorder="1" applyAlignment="1">
      <alignment horizontal="center"/>
    </xf>
    <xf numFmtId="0" fontId="69" fillId="0" borderId="0" xfId="0" applyFont="1"/>
    <xf numFmtId="0" fontId="14" fillId="0" borderId="1" xfId="0" applyFont="1" applyBorder="1" applyAlignment="1">
      <alignment horizontal="left" indent="1"/>
    </xf>
    <xf numFmtId="207" fontId="14" fillId="0" borderId="1" xfId="0" applyNumberFormat="1" applyFont="1" applyBorder="1" applyAlignment="1">
      <alignment horizontal="center"/>
    </xf>
    <xf numFmtId="0" fontId="15" fillId="0" borderId="0" xfId="76" applyFont="1" applyAlignment="1">
      <alignment vertical="center"/>
    </xf>
    <xf numFmtId="207" fontId="16" fillId="2" borderId="1" xfId="0" applyNumberFormat="1" applyFont="1" applyFill="1" applyBorder="1" applyAlignment="1">
      <alignment horizontal="center"/>
    </xf>
    <xf numFmtId="199" fontId="16" fillId="2" borderId="1" xfId="0" applyNumberFormat="1" applyFont="1" applyFill="1" applyBorder="1" applyAlignment="1">
      <alignment horizontal="center"/>
    </xf>
    <xf numFmtId="3" fontId="16" fillId="2" borderId="1" xfId="0" applyNumberFormat="1" applyFont="1" applyFill="1" applyBorder="1" applyAlignment="1">
      <alignment horizontal="center"/>
    </xf>
    <xf numFmtId="0" fontId="16" fillId="2" borderId="0" xfId="0" applyFont="1" applyFill="1" applyAlignment="1">
      <alignment horizontal="center"/>
    </xf>
    <xf numFmtId="191" fontId="14" fillId="0" borderId="1" xfId="1" applyNumberFormat="1" applyFont="1" applyFill="1" applyBorder="1" applyAlignment="1">
      <alignment horizontal="center"/>
    </xf>
    <xf numFmtId="10" fontId="14" fillId="0" borderId="1" xfId="3" applyNumberFormat="1" applyFont="1" applyFill="1" applyBorder="1" applyAlignment="1">
      <alignment horizontal="center" vertical="center"/>
    </xf>
    <xf numFmtId="0" fontId="16" fillId="2" borderId="1" xfId="0" applyFont="1" applyFill="1" applyBorder="1" applyAlignment="1">
      <alignment horizontal="center"/>
    </xf>
    <xf numFmtId="191" fontId="16" fillId="2" borderId="1" xfId="1" applyNumberFormat="1" applyFont="1" applyFill="1" applyBorder="1" applyAlignment="1">
      <alignment horizontal="center"/>
    </xf>
    <xf numFmtId="0" fontId="26" fillId="0" borderId="0" xfId="0" applyFont="1" applyAlignment="1">
      <alignment horizontal="center" vertical="center" wrapText="1"/>
    </xf>
    <xf numFmtId="0" fontId="70" fillId="0" borderId="0" xfId="0" applyFont="1" applyAlignment="1">
      <alignment horizontal="center" vertical="center" wrapText="1"/>
    </xf>
    <xf numFmtId="201" fontId="14" fillId="0" borderId="1" xfId="3" applyNumberFormat="1" applyFont="1" applyFill="1" applyBorder="1" applyAlignment="1">
      <alignment horizontal="right"/>
    </xf>
    <xf numFmtId="0" fontId="52" fillId="0" borderId="0" xfId="0" applyFont="1" applyAlignment="1">
      <alignment horizontal="left"/>
    </xf>
    <xf numFmtId="0" fontId="14" fillId="0" borderId="0" xfId="0" applyFont="1" applyAlignment="1">
      <alignment horizontal="left"/>
    </xf>
    <xf numFmtId="10" fontId="52" fillId="0" borderId="0" xfId="3" applyNumberFormat="1" applyFont="1" applyFill="1" applyBorder="1" applyAlignment="1">
      <alignment horizontal="right"/>
    </xf>
    <xf numFmtId="0" fontId="15" fillId="0" borderId="0" xfId="76" applyFont="1" applyAlignment="1">
      <alignment vertical="center" wrapText="1"/>
    </xf>
    <xf numFmtId="10" fontId="71" fillId="0" borderId="0" xfId="3" applyNumberFormat="1" applyFont="1" applyFill="1" applyBorder="1" applyAlignment="1">
      <alignment horizontal="right"/>
    </xf>
    <xf numFmtId="0" fontId="34" fillId="0" borderId="0" xfId="0" applyFont="1" applyAlignment="1">
      <alignment vertical="center" wrapText="1"/>
    </xf>
    <xf numFmtId="0" fontId="72" fillId="0" borderId="0" xfId="0" applyFont="1" applyAlignment="1">
      <alignment horizontal="right"/>
    </xf>
    <xf numFmtId="10" fontId="72" fillId="0" borderId="0" xfId="3" applyNumberFormat="1" applyFont="1" applyFill="1" applyBorder="1" applyAlignment="1">
      <alignment horizontal="right"/>
    </xf>
    <xf numFmtId="0" fontId="16" fillId="0" borderId="0" xfId="0" applyFont="1" applyAlignment="1">
      <alignment horizontal="center" vertical="center" wrapText="1"/>
    </xf>
    <xf numFmtId="10" fontId="52" fillId="0" borderId="0" xfId="3" applyNumberFormat="1" applyFont="1" applyFill="1" applyBorder="1" applyAlignment="1">
      <alignment horizontal="center"/>
    </xf>
    <xf numFmtId="0" fontId="49" fillId="0" borderId="0" xfId="76" applyFont="1" applyAlignment="1">
      <alignment horizontal="justify" vertical="center"/>
    </xf>
    <xf numFmtId="0" fontId="50" fillId="0" borderId="0" xfId="76" applyFont="1" applyAlignment="1">
      <alignment horizontal="justify" vertical="center"/>
    </xf>
    <xf numFmtId="0" fontId="50" fillId="0" borderId="0" xfId="76" applyFont="1" applyAlignment="1">
      <alignment horizontal="center" vertical="center"/>
    </xf>
    <xf numFmtId="0" fontId="49" fillId="0" borderId="0" xfId="76" applyFont="1" applyAlignment="1">
      <alignment vertical="top" wrapText="1"/>
    </xf>
    <xf numFmtId="0" fontId="52" fillId="0" borderId="0" xfId="0" applyFont="1" applyAlignment="1">
      <alignment horizontal="right"/>
    </xf>
    <xf numFmtId="0" fontId="16" fillId="0" borderId="0" xfId="76" applyFont="1" applyAlignment="1">
      <alignment vertical="center" wrapText="1"/>
    </xf>
    <xf numFmtId="201" fontId="14" fillId="0" borderId="1" xfId="3" applyNumberFormat="1" applyFont="1" applyFill="1" applyBorder="1" applyAlignment="1">
      <alignment horizontal="right" vertical="center"/>
    </xf>
    <xf numFmtId="0" fontId="49" fillId="0" borderId="0" xfId="76" applyFont="1" applyAlignment="1">
      <alignment horizontal="left" vertical="center" indent="3"/>
    </xf>
    <xf numFmtId="0" fontId="14" fillId="0" borderId="0" xfId="0" applyFont="1" applyAlignment="1">
      <alignment wrapText="1"/>
    </xf>
    <xf numFmtId="0" fontId="50" fillId="0" borderId="0" xfId="76" applyFont="1" applyAlignment="1">
      <alignment horizontal="left" vertical="center" indent="3"/>
    </xf>
    <xf numFmtId="201" fontId="16" fillId="2" borderId="1" xfId="3" applyNumberFormat="1" applyFont="1" applyFill="1" applyBorder="1"/>
    <xf numFmtId="0" fontId="68" fillId="0" borderId="0" xfId="0" applyFont="1" applyAlignment="1">
      <alignment horizontal="center" vertical="center"/>
    </xf>
    <xf numFmtId="206" fontId="69" fillId="0" borderId="0" xfId="1" applyNumberFormat="1" applyFont="1" applyFill="1" applyBorder="1" applyAlignment="1">
      <alignment horizontal="center"/>
    </xf>
    <xf numFmtId="206" fontId="68" fillId="0" borderId="0" xfId="0" applyNumberFormat="1" applyFont="1" applyAlignment="1">
      <alignment horizontal="center"/>
    </xf>
    <xf numFmtId="206" fontId="68" fillId="0" borderId="0" xfId="1" applyNumberFormat="1" applyFont="1" applyFill="1" applyBorder="1" applyAlignment="1">
      <alignment horizontal="center"/>
    </xf>
    <xf numFmtId="0" fontId="69" fillId="0" borderId="0" xfId="0" applyFont="1" applyAlignment="1">
      <alignment horizontal="left" indent="1"/>
    </xf>
    <xf numFmtId="1" fontId="49" fillId="0" borderId="0" xfId="76" applyNumberFormat="1" applyFont="1" applyAlignment="1">
      <alignment horizontal="center" vertical="center"/>
    </xf>
    <xf numFmtId="10" fontId="49" fillId="0" borderId="0" xfId="76" applyNumberFormat="1" applyFont="1" applyAlignment="1">
      <alignment horizontal="center" vertical="center"/>
    </xf>
    <xf numFmtId="2" fontId="49" fillId="0" borderId="0" xfId="76" applyNumberFormat="1" applyFont="1" applyAlignment="1">
      <alignment horizontal="center" vertical="center"/>
    </xf>
    <xf numFmtId="3" fontId="50" fillId="0" borderId="0" xfId="1" applyNumberFormat="1" applyFont="1" applyFill="1" applyBorder="1" applyAlignment="1">
      <alignment horizontal="center" vertical="center"/>
    </xf>
    <xf numFmtId="10" fontId="50" fillId="0" borderId="0" xfId="76" applyNumberFormat="1" applyFont="1" applyAlignment="1">
      <alignment horizontal="center" vertical="center"/>
    </xf>
    <xf numFmtId="2" fontId="50" fillId="0" borderId="0" xfId="76" applyNumberFormat="1" applyFont="1" applyAlignment="1">
      <alignment horizontal="center" vertical="center"/>
    </xf>
    <xf numFmtId="9" fontId="50" fillId="0" borderId="0" xfId="76" applyNumberFormat="1" applyFont="1" applyAlignment="1">
      <alignment horizontal="center" vertical="center"/>
    </xf>
    <xf numFmtId="0" fontId="15" fillId="0" borderId="0" xfId="0" applyFont="1" applyAlignment="1">
      <alignment horizontal="center" vertical="center"/>
    </xf>
    <xf numFmtId="176" fontId="49" fillId="0" borderId="0" xfId="1" applyFont="1" applyFill="1" applyBorder="1" applyAlignment="1">
      <alignment horizontal="justify" vertical="center"/>
    </xf>
    <xf numFmtId="9" fontId="49" fillId="0" borderId="0" xfId="3" applyFont="1" applyFill="1" applyBorder="1" applyAlignment="1">
      <alignment horizontal="center" vertical="center"/>
    </xf>
    <xf numFmtId="176" fontId="50" fillId="0" borderId="0" xfId="1" applyFont="1" applyFill="1" applyBorder="1" applyAlignment="1">
      <alignment horizontal="justify" vertical="center"/>
    </xf>
    <xf numFmtId="9" fontId="50" fillId="0" borderId="0" xfId="3" applyFont="1" applyFill="1" applyBorder="1" applyAlignment="1">
      <alignment horizontal="center" vertical="center"/>
    </xf>
    <xf numFmtId="176" fontId="49" fillId="0" borderId="0" xfId="1" applyFont="1" applyFill="1" applyBorder="1" applyAlignment="1">
      <alignment horizontal="left" vertical="center" indent="6"/>
    </xf>
    <xf numFmtId="9" fontId="49" fillId="0" borderId="0" xfId="3" applyFont="1" applyFill="1" applyBorder="1" applyAlignment="1">
      <alignment horizontal="left" vertical="center" indent="6"/>
    </xf>
    <xf numFmtId="176" fontId="50" fillId="0" borderId="0" xfId="1" applyFont="1" applyFill="1" applyBorder="1" applyAlignment="1">
      <alignment horizontal="left" vertical="center" indent="6"/>
    </xf>
    <xf numFmtId="9" fontId="50" fillId="0" borderId="0" xfId="3" applyFont="1" applyFill="1" applyBorder="1" applyAlignment="1">
      <alignment horizontal="left" vertical="center" indent="6"/>
    </xf>
    <xf numFmtId="9" fontId="16" fillId="2" borderId="1" xfId="3" applyFont="1" applyFill="1" applyBorder="1" applyAlignment="1">
      <alignment horizontal="center"/>
    </xf>
    <xf numFmtId="10" fontId="14" fillId="0" borderId="1" xfId="3" applyNumberFormat="1" applyFont="1" applyBorder="1" applyAlignment="1">
      <alignment horizontal="right"/>
    </xf>
    <xf numFmtId="10" fontId="16" fillId="2" borderId="1" xfId="3" applyNumberFormat="1" applyFont="1" applyFill="1" applyBorder="1" applyAlignment="1">
      <alignment horizontal="right"/>
    </xf>
    <xf numFmtId="0" fontId="73" fillId="0" borderId="27" xfId="76" applyFont="1" applyBorder="1" applyAlignment="1">
      <alignment vertical="top" wrapText="1"/>
    </xf>
    <xf numFmtId="0" fontId="73" fillId="0" borderId="0" xfId="76" applyFont="1" applyAlignment="1">
      <alignment vertical="top" wrapText="1"/>
    </xf>
    <xf numFmtId="0" fontId="45" fillId="2" borderId="1" xfId="76" applyFont="1" applyFill="1" applyBorder="1" applyAlignment="1">
      <alignment horizontal="center" vertical="center" wrapText="1"/>
    </xf>
    <xf numFmtId="0" fontId="15" fillId="0" borderId="43" xfId="0" applyFont="1" applyBorder="1"/>
    <xf numFmtId="0" fontId="14" fillId="0" borderId="43" xfId="0" applyFont="1" applyBorder="1"/>
    <xf numFmtId="191" fontId="15" fillId="0" borderId="43" xfId="0" applyNumberFormat="1" applyFont="1" applyBorder="1"/>
    <xf numFmtId="9" fontId="14" fillId="0" borderId="43" xfId="0" applyNumberFormat="1" applyFont="1" applyBorder="1" applyAlignment="1">
      <alignment horizontal="left"/>
    </xf>
    <xf numFmtId="0" fontId="15" fillId="7" borderId="7" xfId="0" applyFont="1" applyFill="1" applyBorder="1" applyAlignment="1">
      <alignment horizontal="left" indent="1"/>
    </xf>
    <xf numFmtId="0" fontId="14" fillId="7" borderId="7" xfId="0" applyFont="1" applyFill="1" applyBorder="1"/>
    <xf numFmtId="191" fontId="15" fillId="7" borderId="7" xfId="0" applyNumberFormat="1" applyFont="1" applyFill="1" applyBorder="1"/>
    <xf numFmtId="10" fontId="15" fillId="7" borderId="7" xfId="3" applyNumberFormat="1" applyFont="1" applyFill="1" applyBorder="1" applyAlignment="1">
      <alignment horizontal="left" indent="1"/>
    </xf>
    <xf numFmtId="0" fontId="15" fillId="7" borderId="1" xfId="0" applyFont="1" applyFill="1" applyBorder="1" applyAlignment="1">
      <alignment horizontal="left" indent="1"/>
    </xf>
    <xf numFmtId="0" fontId="14" fillId="7" borderId="1" xfId="0" applyFont="1" applyFill="1" applyBorder="1"/>
    <xf numFmtId="201" fontId="15" fillId="7" borderId="1" xfId="0" applyNumberFormat="1" applyFont="1" applyFill="1" applyBorder="1"/>
    <xf numFmtId="184" fontId="15" fillId="7" borderId="1" xfId="0" applyNumberFormat="1" applyFont="1" applyFill="1" applyBorder="1" applyAlignment="1">
      <alignment horizontal="left" indent="1"/>
    </xf>
    <xf numFmtId="0" fontId="14" fillId="0" borderId="1" xfId="0" applyFont="1" applyBorder="1" applyAlignment="1">
      <alignment horizontal="left" indent="2"/>
    </xf>
    <xf numFmtId="184" fontId="14" fillId="0" borderId="1" xfId="0" applyNumberFormat="1" applyFont="1" applyBorder="1"/>
    <xf numFmtId="9" fontId="73" fillId="0" borderId="1" xfId="76" applyNumberFormat="1" applyFont="1" applyBorder="1" applyAlignment="1">
      <alignment vertical="top" wrapText="1"/>
    </xf>
    <xf numFmtId="201" fontId="73" fillId="0" borderId="1" xfId="76" applyNumberFormat="1" applyFont="1" applyBorder="1" applyAlignment="1">
      <alignment vertical="top" wrapText="1"/>
    </xf>
    <xf numFmtId="184" fontId="14" fillId="0" borderId="1" xfId="3" applyNumberFormat="1" applyFont="1" applyBorder="1" applyAlignment="1">
      <alignment horizontal="left" indent="2"/>
    </xf>
    <xf numFmtId="0" fontId="14" fillId="0" borderId="13" xfId="0" applyFont="1" applyBorder="1" applyAlignment="1">
      <alignment horizontal="left" indent="2"/>
    </xf>
    <xf numFmtId="184" fontId="14" fillId="0" borderId="13" xfId="0" applyNumberFormat="1" applyFont="1" applyBorder="1"/>
    <xf numFmtId="9" fontId="73" fillId="0" borderId="13" xfId="76" applyNumberFormat="1" applyFont="1" applyBorder="1" applyAlignment="1">
      <alignment vertical="top" wrapText="1"/>
    </xf>
    <xf numFmtId="201" fontId="73" fillId="0" borderId="13" xfId="76" applyNumberFormat="1" applyFont="1" applyBorder="1" applyAlignment="1">
      <alignment vertical="top" wrapText="1"/>
    </xf>
    <xf numFmtId="184" fontId="14" fillId="0" borderId="13" xfId="3" applyNumberFormat="1" applyFont="1" applyBorder="1" applyAlignment="1">
      <alignment horizontal="left" indent="2"/>
    </xf>
    <xf numFmtId="0" fontId="15" fillId="7" borderId="1" xfId="0" applyFont="1" applyFill="1" applyBorder="1"/>
    <xf numFmtId="191" fontId="74" fillId="7" borderId="1" xfId="1" applyNumberFormat="1" applyFont="1" applyFill="1" applyBorder="1" applyAlignment="1">
      <alignment vertical="top" wrapText="1"/>
    </xf>
    <xf numFmtId="184" fontId="15" fillId="7" borderId="1" xfId="3" applyNumberFormat="1" applyFont="1" applyFill="1" applyBorder="1" applyAlignment="1">
      <alignment horizontal="left" indent="1"/>
    </xf>
    <xf numFmtId="0" fontId="75" fillId="0" borderId="1" xfId="0" applyFont="1" applyBorder="1" applyAlignment="1">
      <alignment horizontal="left" indent="2"/>
    </xf>
    <xf numFmtId="191" fontId="74" fillId="0" borderId="1" xfId="1" applyNumberFormat="1" applyFont="1" applyBorder="1" applyAlignment="1">
      <alignment vertical="top" wrapText="1"/>
    </xf>
    <xf numFmtId="184" fontId="15" fillId="0" borderId="1" xfId="3" applyNumberFormat="1" applyFont="1" applyBorder="1" applyAlignment="1">
      <alignment horizontal="left" indent="2"/>
    </xf>
    <xf numFmtId="0" fontId="76" fillId="0" borderId="1" xfId="0" applyFont="1" applyBorder="1" applyAlignment="1">
      <alignment horizontal="left" indent="3"/>
    </xf>
    <xf numFmtId="9" fontId="73" fillId="0" borderId="1" xfId="3" applyFont="1" applyBorder="1" applyAlignment="1">
      <alignment vertical="top" wrapText="1"/>
    </xf>
    <xf numFmtId="184" fontId="14" fillId="0" borderId="1" xfId="3" applyNumberFormat="1" applyFont="1" applyBorder="1" applyAlignment="1">
      <alignment horizontal="left" indent="3"/>
    </xf>
    <xf numFmtId="201" fontId="14" fillId="0" borderId="0" xfId="0" applyNumberFormat="1" applyFont="1"/>
    <xf numFmtId="9" fontId="15" fillId="0" borderId="1" xfId="3" applyFont="1" applyBorder="1" applyAlignment="1">
      <alignment horizontal="right" vertical="center"/>
    </xf>
    <xf numFmtId="201" fontId="74" fillId="0" borderId="1" xfId="76" applyNumberFormat="1" applyFont="1" applyBorder="1" applyAlignment="1">
      <alignment vertical="center" wrapText="1"/>
    </xf>
    <xf numFmtId="9" fontId="15" fillId="7" borderId="1" xfId="3" applyFont="1" applyFill="1" applyBorder="1" applyAlignment="1">
      <alignment horizontal="right" vertical="center"/>
    </xf>
    <xf numFmtId="201" fontId="74" fillId="7" borderId="1" xfId="76" applyNumberFormat="1" applyFont="1" applyFill="1" applyBorder="1" applyAlignment="1">
      <alignment vertical="center" wrapText="1"/>
    </xf>
    <xf numFmtId="0" fontId="15" fillId="7" borderId="1" xfId="0" applyFont="1" applyFill="1" applyBorder="1" applyAlignment="1">
      <alignment horizontal="left" wrapText="1" indent="1"/>
    </xf>
    <xf numFmtId="0" fontId="15" fillId="7" borderId="1" xfId="0" applyFont="1" applyFill="1" applyBorder="1" applyAlignment="1">
      <alignment horizontal="left" wrapText="1"/>
    </xf>
    <xf numFmtId="9" fontId="15" fillId="7" borderId="1" xfId="0" applyNumberFormat="1" applyFont="1" applyFill="1" applyBorder="1"/>
    <xf numFmtId="184" fontId="15" fillId="7" borderId="1" xfId="3" applyNumberFormat="1" applyFont="1" applyFill="1" applyBorder="1" applyAlignment="1">
      <alignment horizontal="left" vertical="center" indent="1"/>
    </xf>
    <xf numFmtId="0" fontId="14" fillId="0" borderId="1" xfId="0" applyFont="1" applyBorder="1" applyAlignment="1">
      <alignment horizontal="left" wrapText="1" indent="2"/>
    </xf>
    <xf numFmtId="0" fontId="15" fillId="0" borderId="1" xfId="0" applyFont="1" applyBorder="1" applyAlignment="1">
      <alignment horizontal="left" wrapText="1"/>
    </xf>
    <xf numFmtId="9" fontId="14" fillId="0" borderId="1" xfId="3" applyFont="1" applyBorder="1" applyAlignment="1">
      <alignment horizontal="right" vertical="center"/>
    </xf>
    <xf numFmtId="201" fontId="73" fillId="0" borderId="1" xfId="76" applyNumberFormat="1" applyFont="1" applyBorder="1" applyAlignment="1">
      <alignment vertical="center" wrapText="1"/>
    </xf>
    <xf numFmtId="184" fontId="14" fillId="0" borderId="1" xfId="3" applyNumberFormat="1" applyFont="1" applyBorder="1" applyAlignment="1">
      <alignment horizontal="left" vertical="center" indent="2"/>
    </xf>
    <xf numFmtId="9" fontId="15" fillId="0" borderId="0" xfId="3" applyFont="1"/>
    <xf numFmtId="0" fontId="15" fillId="0" borderId="0" xfId="0" applyFont="1" applyAlignment="1">
      <alignment horizontal="left" wrapText="1"/>
    </xf>
    <xf numFmtId="9" fontId="15" fillId="0" borderId="0" xfId="3" applyFont="1" applyBorder="1" applyAlignment="1">
      <alignment horizontal="right" vertical="center"/>
    </xf>
    <xf numFmtId="191" fontId="74" fillId="0" borderId="0" xfId="1" applyNumberFormat="1" applyFont="1" applyBorder="1" applyAlignment="1">
      <alignment vertical="center" wrapText="1"/>
    </xf>
    <xf numFmtId="184" fontId="15" fillId="0" borderId="0" xfId="3" applyNumberFormat="1" applyFont="1" applyBorder="1" applyAlignment="1">
      <alignment vertical="center"/>
    </xf>
    <xf numFmtId="201" fontId="74" fillId="0" borderId="0" xfId="76" applyNumberFormat="1" applyFont="1" applyAlignment="1">
      <alignment vertical="center" wrapText="1"/>
    </xf>
    <xf numFmtId="201" fontId="74" fillId="0" borderId="0" xfId="76" applyNumberFormat="1" applyFont="1" applyAlignment="1">
      <alignment vertical="top" wrapText="1"/>
    </xf>
    <xf numFmtId="184" fontId="15" fillId="0" borderId="0" xfId="3" applyNumberFormat="1" applyFont="1" applyBorder="1"/>
    <xf numFmtId="0" fontId="14" fillId="0" borderId="0" xfId="0" applyFont="1" applyAlignment="1">
      <alignment horizontal="left" wrapText="1"/>
    </xf>
    <xf numFmtId="10" fontId="72" fillId="0" borderId="0" xfId="3" applyNumberFormat="1" applyFont="1" applyFill="1" applyBorder="1" applyAlignment="1">
      <alignment horizontal="left"/>
    </xf>
    <xf numFmtId="0" fontId="45" fillId="2" borderId="1" xfId="0" applyFont="1" applyFill="1" applyBorder="1" applyAlignment="1">
      <alignment horizontal="center" vertical="center" wrapText="1"/>
    </xf>
    <xf numFmtId="0" fontId="73" fillId="0" borderId="3" xfId="76" applyFont="1" applyBorder="1" applyAlignment="1">
      <alignment horizontal="justify" vertical="center"/>
    </xf>
    <xf numFmtId="201" fontId="73" fillId="0" borderId="3" xfId="76" applyNumberFormat="1" applyFont="1" applyBorder="1" applyAlignment="1">
      <alignment horizontal="center" vertical="center"/>
    </xf>
    <xf numFmtId="10" fontId="73" fillId="0" borderId="3" xfId="76" applyNumberFormat="1" applyFont="1" applyBorder="1" applyAlignment="1">
      <alignment horizontal="center" vertical="center"/>
    </xf>
    <xf numFmtId="0" fontId="74" fillId="0" borderId="3" xfId="76" applyFont="1" applyBorder="1" applyAlignment="1">
      <alignment horizontal="justify" vertical="center"/>
    </xf>
    <xf numFmtId="0" fontId="45" fillId="2" borderId="3" xfId="76" applyFont="1" applyFill="1" applyBorder="1" applyAlignment="1">
      <alignment horizontal="justify" vertical="center"/>
    </xf>
    <xf numFmtId="199" fontId="45" fillId="2" borderId="3" xfId="1" applyNumberFormat="1" applyFont="1" applyFill="1" applyBorder="1" applyAlignment="1">
      <alignment horizontal="center" vertical="center"/>
    </xf>
    <xf numFmtId="9" fontId="45" fillId="2" borderId="3" xfId="76" applyNumberFormat="1" applyFont="1" applyFill="1" applyBorder="1" applyAlignment="1">
      <alignment horizontal="center" vertical="center"/>
    </xf>
    <xf numFmtId="0" fontId="77" fillId="0" borderId="0" xfId="0" applyFont="1"/>
    <xf numFmtId="0" fontId="2" fillId="0" borderId="0" xfId="0" applyFont="1" applyAlignment="1">
      <alignment horizontal="center"/>
    </xf>
    <xf numFmtId="0" fontId="41" fillId="0" borderId="0" xfId="0" applyFont="1"/>
    <xf numFmtId="0" fontId="35" fillId="2" borderId="1" xfId="0" applyFont="1" applyFill="1" applyBorder="1" applyAlignment="1">
      <alignment horizontal="center" wrapText="1"/>
    </xf>
    <xf numFmtId="0" fontId="0" fillId="0" borderId="1" xfId="0" applyBorder="1" applyAlignment="1">
      <alignment horizontal="left"/>
    </xf>
    <xf numFmtId="182" fontId="35" fillId="2" borderId="1" xfId="1" applyNumberFormat="1" applyFont="1" applyFill="1" applyBorder="1" applyAlignment="1">
      <alignment horizontal="center"/>
    </xf>
    <xf numFmtId="182" fontId="78" fillId="0" borderId="0" xfId="0" applyNumberFormat="1" applyFont="1" applyAlignment="1">
      <alignment horizontal="center"/>
    </xf>
    <xf numFmtId="0" fontId="39" fillId="0" borderId="0" xfId="0" applyFont="1"/>
    <xf numFmtId="10" fontId="35" fillId="2" borderId="1" xfId="3" applyNumberFormat="1" applyFont="1" applyFill="1" applyBorder="1" applyAlignment="1">
      <alignment horizontal="center" vertical="center" wrapText="1"/>
    </xf>
    <xf numFmtId="10" fontId="3" fillId="12" borderId="1" xfId="3" applyNumberFormat="1" applyFont="1" applyFill="1" applyBorder="1" applyAlignment="1">
      <alignment horizontal="center"/>
    </xf>
    <xf numFmtId="188" fontId="3" fillId="12" borderId="1" xfId="1" applyNumberFormat="1" applyFont="1" applyFill="1" applyBorder="1" applyAlignment="1">
      <alignment horizontal="center"/>
    </xf>
    <xf numFmtId="3" fontId="3" fillId="12" borderId="1" xfId="0" applyNumberFormat="1" applyFont="1" applyFill="1" applyBorder="1"/>
    <xf numFmtId="10" fontId="0" fillId="0" borderId="1" xfId="3" applyNumberFormat="1" applyFont="1" applyBorder="1" applyAlignment="1">
      <alignment horizontal="center"/>
    </xf>
    <xf numFmtId="188" fontId="0" fillId="0" borderId="1" xfId="1" applyNumberFormat="1" applyFont="1" applyBorder="1" applyAlignment="1">
      <alignment horizontal="center"/>
    </xf>
    <xf numFmtId="188" fontId="0" fillId="0" borderId="1" xfId="1" applyNumberFormat="1" applyFont="1" applyFill="1" applyBorder="1" applyAlignment="1">
      <alignment horizontal="center"/>
    </xf>
    <xf numFmtId="182" fontId="3" fillId="12" borderId="1" xfId="1" applyNumberFormat="1" applyFont="1" applyFill="1" applyBorder="1" applyAlignment="1">
      <alignment horizontal="center"/>
    </xf>
    <xf numFmtId="0" fontId="39" fillId="0" borderId="0" xfId="0" applyFont="1" applyAlignment="1">
      <alignment horizontal="left"/>
    </xf>
    <xf numFmtId="10" fontId="35" fillId="2" borderId="1" xfId="3" applyNumberFormat="1" applyFont="1" applyFill="1" applyBorder="1" applyAlignment="1">
      <alignment horizontal="center" vertical="center"/>
    </xf>
    <xf numFmtId="0" fontId="40" fillId="2" borderId="1" xfId="0" applyFont="1" applyFill="1" applyBorder="1" applyAlignment="1">
      <alignment horizontal="center" vertical="center"/>
    </xf>
    <xf numFmtId="0" fontId="40" fillId="2" borderId="1" xfId="0" applyFont="1" applyFill="1" applyBorder="1" applyAlignment="1">
      <alignment horizontal="center" vertical="center" wrapText="1"/>
    </xf>
    <xf numFmtId="10" fontId="0" fillId="0" borderId="1" xfId="3" applyNumberFormat="1" applyFont="1" applyBorder="1"/>
    <xf numFmtId="10" fontId="0" fillId="0" borderId="0" xfId="3" applyNumberFormat="1" applyFont="1" applyBorder="1"/>
    <xf numFmtId="0" fontId="79" fillId="0" borderId="0" xfId="0" applyFont="1" applyAlignment="1">
      <alignment vertical="center"/>
    </xf>
    <xf numFmtId="0" fontId="80" fillId="0" borderId="0" xfId="0" applyFont="1" applyAlignment="1">
      <alignment vertical="center"/>
    </xf>
    <xf numFmtId="0" fontId="80" fillId="0" borderId="0" xfId="0" applyFont="1"/>
    <xf numFmtId="0" fontId="81" fillId="0" borderId="0" xfId="0" applyFont="1"/>
    <xf numFmtId="0" fontId="82" fillId="0" borderId="0" xfId="0" applyFont="1"/>
    <xf numFmtId="0" fontId="57" fillId="0" borderId="0" xfId="0" applyFont="1"/>
    <xf numFmtId="0" fontId="79" fillId="0" borderId="0" xfId="0" applyFont="1"/>
    <xf numFmtId="0" fontId="33" fillId="0" borderId="0" xfId="0" applyFont="1" applyAlignment="1">
      <alignment vertical="center" wrapText="1"/>
    </xf>
    <xf numFmtId="0" fontId="83" fillId="21" borderId="1" xfId="0" applyFont="1" applyFill="1" applyBorder="1" applyAlignment="1">
      <alignment horizontal="center" vertical="center" wrapText="1"/>
    </xf>
    <xf numFmtId="0" fontId="83" fillId="0" borderId="0" xfId="0" applyFont="1" applyAlignment="1">
      <alignment horizontal="center" vertical="center" wrapText="1"/>
    </xf>
    <xf numFmtId="0" fontId="32" fillId="12" borderId="0" xfId="0" applyFont="1" applyFill="1" applyAlignment="1">
      <alignment horizontal="center" vertical="center"/>
    </xf>
    <xf numFmtId="208" fontId="84" fillId="0" borderId="0" xfId="0" applyNumberFormat="1" applyFont="1" applyAlignment="1">
      <alignment vertical="center" wrapText="1"/>
    </xf>
    <xf numFmtId="208" fontId="84" fillId="0" borderId="0" xfId="0" applyNumberFormat="1" applyFont="1" applyAlignment="1">
      <alignment horizontal="center" vertical="center" wrapText="1"/>
    </xf>
    <xf numFmtId="0" fontId="35" fillId="2" borderId="1" xfId="0" applyFont="1" applyFill="1" applyBorder="1" applyAlignment="1">
      <alignment vertical="center" wrapText="1"/>
    </xf>
    <xf numFmtId="0" fontId="85" fillId="0" borderId="0" xfId="0" applyFont="1" applyAlignment="1">
      <alignment horizontal="center" vertical="center" wrapText="1"/>
    </xf>
    <xf numFmtId="1" fontId="0" fillId="0" borderId="1" xfId="0" applyNumberFormat="1" applyBorder="1" applyAlignment="1">
      <alignment horizontal="center" vertical="center"/>
    </xf>
    <xf numFmtId="9" fontId="0" fillId="0" borderId="1" xfId="3" applyFont="1" applyFill="1" applyBorder="1" applyAlignment="1">
      <alignment horizontal="center" vertical="center"/>
    </xf>
    <xf numFmtId="2" fontId="62" fillId="0" borderId="0" xfId="0" applyNumberFormat="1" applyFont="1" applyAlignment="1">
      <alignment horizontal="center" vertical="center"/>
    </xf>
    <xf numFmtId="0" fontId="0" fillId="0" borderId="1" xfId="1" applyNumberFormat="1" applyFont="1" applyFill="1" applyBorder="1" applyAlignment="1">
      <alignment horizontal="center" vertical="center"/>
    </xf>
    <xf numFmtId="208" fontId="41" fillId="0" borderId="0" xfId="0" applyNumberFormat="1" applyFont="1" applyAlignment="1">
      <alignment horizontal="center" vertical="center" wrapText="1"/>
    </xf>
    <xf numFmtId="208" fontId="35" fillId="2" borderId="1" xfId="0" applyNumberFormat="1" applyFont="1" applyFill="1" applyBorder="1" applyAlignment="1">
      <alignment horizontal="center" vertical="center" wrapText="1"/>
    </xf>
    <xf numFmtId="0" fontId="36" fillId="0" borderId="1" xfId="0" applyFont="1" applyBorder="1" applyAlignment="1">
      <alignment wrapText="1"/>
    </xf>
    <xf numFmtId="176" fontId="36" fillId="0" borderId="1" xfId="1" applyFont="1" applyFill="1" applyBorder="1" applyAlignment="1">
      <alignment horizontal="center" vertical="center" wrapText="1"/>
    </xf>
    <xf numFmtId="176" fontId="36" fillId="0" borderId="1" xfId="1" applyFont="1" applyBorder="1" applyAlignment="1">
      <alignment horizontal="center" vertical="center" wrapText="1"/>
    </xf>
    <xf numFmtId="184" fontId="36" fillId="0" borderId="1" xfId="3" applyNumberFormat="1" applyFont="1" applyFill="1" applyBorder="1" applyAlignment="1">
      <alignment horizontal="right" vertical="center" wrapText="1"/>
    </xf>
    <xf numFmtId="208" fontId="36" fillId="0" borderId="0" xfId="0" applyNumberFormat="1" applyFont="1" applyAlignment="1">
      <alignment horizontal="center" vertical="center" wrapText="1"/>
    </xf>
    <xf numFmtId="208" fontId="36" fillId="0" borderId="0" xfId="0" applyNumberFormat="1" applyFont="1" applyAlignment="1">
      <alignment horizontal="left" vertical="center" wrapText="1"/>
    </xf>
    <xf numFmtId="0" fontId="36" fillId="0" borderId="0" xfId="0" applyFont="1" applyAlignment="1">
      <alignment horizontal="left" vertical="center" wrapText="1"/>
    </xf>
    <xf numFmtId="188" fontId="36" fillId="0" borderId="1" xfId="1" applyNumberFormat="1" applyFont="1" applyFill="1" applyBorder="1" applyAlignment="1">
      <alignment horizontal="center" vertical="center" wrapText="1"/>
    </xf>
    <xf numFmtId="0" fontId="86" fillId="0" borderId="0" xfId="6" applyFont="1" applyFill="1" applyAlignment="1">
      <alignment vertical="center"/>
    </xf>
    <xf numFmtId="0" fontId="36" fillId="0" borderId="0" xfId="0" applyFont="1" applyAlignment="1">
      <alignment vertical="center"/>
    </xf>
    <xf numFmtId="0" fontId="17" fillId="0" borderId="0" xfId="0" applyFont="1" applyAlignment="1">
      <alignment horizontal="center"/>
    </xf>
    <xf numFmtId="0" fontId="87" fillId="0" borderId="44" xfId="0" applyFont="1" applyBorder="1" applyAlignment="1">
      <alignment horizontal="center" vertical="top" wrapText="1"/>
    </xf>
    <xf numFmtId="0" fontId="87" fillId="0" borderId="45" xfId="0" applyFont="1" applyBorder="1" applyAlignment="1">
      <alignment horizontal="center" vertical="top" wrapText="1"/>
    </xf>
    <xf numFmtId="0" fontId="87" fillId="0" borderId="46" xfId="0" applyFont="1" applyBorder="1" applyAlignment="1">
      <alignment horizontal="center" vertical="top" wrapText="1"/>
    </xf>
    <xf numFmtId="0" fontId="87" fillId="0" borderId="47" xfId="0" applyFont="1" applyBorder="1" applyAlignment="1">
      <alignment horizontal="center" vertical="top" wrapText="1"/>
    </xf>
    <xf numFmtId="0" fontId="87" fillId="0" borderId="48" xfId="0" applyFont="1" applyBorder="1" applyAlignment="1">
      <alignment horizontal="center" vertical="top" wrapText="1"/>
    </xf>
    <xf numFmtId="208" fontId="0" fillId="0" borderId="0" xfId="0" applyNumberFormat="1" applyAlignment="1">
      <alignment horizontal="center"/>
    </xf>
    <xf numFmtId="208" fontId="84" fillId="0" borderId="1" xfId="0" applyNumberFormat="1" applyFont="1" applyBorder="1" applyAlignment="1">
      <alignment horizontal="center" vertical="center" wrapText="1"/>
    </xf>
    <xf numFmtId="208" fontId="36" fillId="0" borderId="1" xfId="0" applyNumberFormat="1" applyFont="1" applyBorder="1" applyAlignment="1">
      <alignment horizontal="center" vertical="center" wrapText="1"/>
    </xf>
    <xf numFmtId="2" fontId="0" fillId="0" borderId="1" xfId="1" applyNumberFormat="1" applyFont="1" applyFill="1" applyBorder="1" applyAlignment="1">
      <alignment horizontal="center"/>
    </xf>
    <xf numFmtId="0" fontId="87" fillId="0" borderId="49" xfId="0" applyFont="1" applyBorder="1" applyAlignment="1">
      <alignment horizontal="center" vertical="top" wrapText="1"/>
    </xf>
    <xf numFmtId="0" fontId="87" fillId="0" borderId="50" xfId="0" applyFont="1" applyBorder="1" applyAlignment="1">
      <alignment horizontal="center" vertical="top" wrapText="1"/>
    </xf>
    <xf numFmtId="0" fontId="87" fillId="0" borderId="51" xfId="0" applyFont="1" applyBorder="1" applyAlignment="1">
      <alignment horizontal="center" vertical="top" wrapText="1"/>
    </xf>
    <xf numFmtId="0" fontId="88" fillId="0" borderId="0" xfId="0" applyFont="1"/>
    <xf numFmtId="0" fontId="22" fillId="0" borderId="0" xfId="0" applyFont="1"/>
    <xf numFmtId="188" fontId="3" fillId="0" borderId="0" xfId="1" applyNumberFormat="1" applyFont="1"/>
    <xf numFmtId="176" fontId="22" fillId="0" borderId="0" xfId="0" applyNumberFormat="1" applyFont="1"/>
    <xf numFmtId="10" fontId="22" fillId="0" borderId="0" xfId="3" applyNumberFormat="1" applyFont="1" applyAlignment="1">
      <alignment vertical="center"/>
    </xf>
    <xf numFmtId="0" fontId="89" fillId="0" borderId="0" xfId="0" applyFont="1"/>
    <xf numFmtId="176" fontId="57" fillId="0" borderId="0" xfId="1" applyFont="1"/>
    <xf numFmtId="10" fontId="22" fillId="0" borderId="0" xfId="3" applyNumberFormat="1" applyFont="1"/>
    <xf numFmtId="0" fontId="57" fillId="0" borderId="0" xfId="0" applyFont="1" applyAlignment="1">
      <alignment horizontal="left" indent="1"/>
    </xf>
    <xf numFmtId="199" fontId="57" fillId="0" borderId="0" xfId="0" applyNumberFormat="1" applyFont="1"/>
    <xf numFmtId="176" fontId="57" fillId="0" borderId="0" xfId="1" applyFont="1" applyFill="1"/>
    <xf numFmtId="0" fontId="90" fillId="0" borderId="0" xfId="0" applyFont="1"/>
    <xf numFmtId="0" fontId="33" fillId="0" borderId="0" xfId="0" applyFont="1" applyAlignment="1">
      <alignment horizontal="center" vertical="center" wrapText="1"/>
    </xf>
    <xf numFmtId="208" fontId="35" fillId="0" borderId="0" xfId="0" applyNumberFormat="1" applyFont="1" applyAlignment="1">
      <alignment horizontal="center" vertical="center" wrapText="1"/>
    </xf>
    <xf numFmtId="0" fontId="91" fillId="0" borderId="0" xfId="0" applyFont="1"/>
    <xf numFmtId="176" fontId="36" fillId="0" borderId="1" xfId="0" applyNumberFormat="1" applyFont="1" applyBorder="1"/>
    <xf numFmtId="189" fontId="0" fillId="0" borderId="1" xfId="1" applyNumberFormat="1" applyFont="1" applyBorder="1"/>
    <xf numFmtId="0" fontId="92" fillId="0" borderId="0" xfId="0" applyFont="1"/>
    <xf numFmtId="176" fontId="57" fillId="0" borderId="0" xfId="0" applyNumberFormat="1" applyFont="1"/>
    <xf numFmtId="0" fontId="90" fillId="0" borderId="0" xfId="0" applyFont="1" applyAlignment="1">
      <alignment horizontal="left" wrapText="1"/>
    </xf>
    <xf numFmtId="0" fontId="92" fillId="9" borderId="0" xfId="0" applyFont="1" applyFill="1" applyAlignment="1">
      <alignment horizontal="center" vertical="center" wrapText="1"/>
    </xf>
    <xf numFmtId="0" fontId="41" fillId="0" borderId="1" xfId="0" applyFont="1" applyBorder="1" applyAlignment="1">
      <alignment wrapText="1"/>
    </xf>
    <xf numFmtId="0" fontId="93" fillId="0" borderId="52" xfId="0" applyFont="1" applyBorder="1" applyAlignment="1">
      <alignment wrapText="1"/>
    </xf>
    <xf numFmtId="0" fontId="1" fillId="0" borderId="52" xfId="0" applyFont="1" applyBorder="1" applyAlignment="1">
      <alignment wrapText="1"/>
    </xf>
    <xf numFmtId="0" fontId="0" fillId="0" borderId="1" xfId="0" applyBorder="1" applyAlignment="1">
      <alignment vertical="center" wrapText="1"/>
    </xf>
    <xf numFmtId="176" fontId="0" fillId="0" borderId="1" xfId="1" applyFont="1" applyFill="1" applyBorder="1" applyAlignment="1">
      <alignment horizontal="center" vertical="center"/>
    </xf>
    <xf numFmtId="0" fontId="0" fillId="6" borderId="1" xfId="1" applyNumberFormat="1" applyFont="1" applyFill="1" applyBorder="1" applyAlignment="1">
      <alignment horizontal="center" vertical="center"/>
    </xf>
    <xf numFmtId="199" fontId="0" fillId="6" borderId="1" xfId="1" applyNumberFormat="1" applyFont="1" applyFill="1" applyBorder="1" applyAlignment="1">
      <alignment horizontal="center" vertical="center"/>
    </xf>
    <xf numFmtId="0" fontId="92" fillId="0" borderId="0" xfId="0" applyFont="1" applyAlignment="1">
      <alignment vertical="center" wrapText="1"/>
    </xf>
    <xf numFmtId="199" fontId="35" fillId="2" borderId="1" xfId="1" applyNumberFormat="1" applyFont="1" applyFill="1" applyBorder="1" applyAlignment="1">
      <alignment horizontal="center" vertical="center"/>
    </xf>
    <xf numFmtId="0" fontId="64" fillId="2" borderId="53" xfId="0" applyFont="1" applyFill="1" applyBorder="1" applyAlignment="1">
      <alignment horizontal="center"/>
    </xf>
    <xf numFmtId="0" fontId="64" fillId="2" borderId="18" xfId="0" applyFont="1" applyFill="1" applyBorder="1" applyAlignment="1">
      <alignment horizontal="center"/>
    </xf>
    <xf numFmtId="0" fontId="64" fillId="2" borderId="36" xfId="0" applyFont="1" applyFill="1" applyBorder="1" applyAlignment="1">
      <alignment horizontal="center"/>
    </xf>
    <xf numFmtId="0" fontId="34" fillId="22" borderId="1" xfId="0" applyFont="1" applyFill="1" applyBorder="1" applyAlignment="1">
      <alignment horizontal="center" vertical="center" wrapText="1"/>
    </xf>
    <xf numFmtId="0" fontId="50" fillId="0" borderId="1" xfId="0" applyFont="1" applyBorder="1" applyAlignment="1">
      <alignment horizontal="right" vertical="center"/>
    </xf>
    <xf numFmtId="0" fontId="14" fillId="0" borderId="1" xfId="0" applyFont="1" applyBorder="1" applyAlignment="1">
      <alignment horizontal="right" vertical="center"/>
    </xf>
    <xf numFmtId="0" fontId="34" fillId="0" borderId="1" xfId="0" applyFont="1" applyBorder="1" applyAlignment="1">
      <alignment horizontal="center" vertical="center" wrapText="1"/>
    </xf>
    <xf numFmtId="209" fontId="49" fillId="0" borderId="1" xfId="0" applyNumberFormat="1" applyFont="1" applyBorder="1" applyAlignment="1">
      <alignment horizontal="right" vertical="center"/>
    </xf>
    <xf numFmtId="3" fontId="49" fillId="0" borderId="1" xfId="0" applyNumberFormat="1" applyFont="1" applyBorder="1" applyAlignment="1">
      <alignment horizontal="right" vertical="center"/>
    </xf>
    <xf numFmtId="201" fontId="49" fillId="0" borderId="1" xfId="0" applyNumberFormat="1" applyFont="1" applyBorder="1" applyAlignment="1">
      <alignment horizontal="right" vertical="center"/>
    </xf>
    <xf numFmtId="3" fontId="94" fillId="0" borderId="0" xfId="70" applyNumberFormat="1" applyFont="1" applyAlignment="1">
      <alignment horizontal="left" vertical="center" wrapText="1"/>
    </xf>
    <xf numFmtId="206" fontId="49" fillId="0" borderId="1" xfId="0" applyNumberFormat="1" applyFont="1" applyBorder="1" applyAlignment="1">
      <alignment horizontal="right" vertical="center"/>
    </xf>
    <xf numFmtId="0" fontId="14" fillId="0" borderId="0" xfId="0" applyFont="1" applyAlignment="1">
      <alignment horizontal="right" vertical="center"/>
    </xf>
    <xf numFmtId="0" fontId="34" fillId="0" borderId="0" xfId="0" applyFont="1" applyAlignment="1">
      <alignment horizontal="center" vertical="center" wrapText="1"/>
    </xf>
    <xf numFmtId="0" fontId="16" fillId="2" borderId="9" xfId="0" applyFont="1" applyFill="1" applyBorder="1" applyAlignment="1">
      <alignment horizontal="center"/>
    </xf>
    <xf numFmtId="0" fontId="16" fillId="2" borderId="11" xfId="0" applyFont="1" applyFill="1" applyBorder="1" applyAlignment="1">
      <alignment horizontal="center"/>
    </xf>
    <xf numFmtId="2" fontId="48" fillId="0" borderId="1" xfId="0" applyNumberFormat="1" applyFont="1" applyBorder="1"/>
    <xf numFmtId="176" fontId="48" fillId="0" borderId="1" xfId="0" applyNumberFormat="1" applyFont="1" applyBorder="1"/>
    <xf numFmtId="4" fontId="0" fillId="0" borderId="0" xfId="0" applyNumberFormat="1" applyAlignment="1">
      <alignment horizontal="center"/>
    </xf>
    <xf numFmtId="4" fontId="14" fillId="0" borderId="1" xfId="0" applyNumberFormat="1" applyFont="1" applyBorder="1" applyAlignment="1">
      <alignment horizontal="center"/>
    </xf>
    <xf numFmtId="0" fontId="35" fillId="2" borderId="21" xfId="0" applyFont="1" applyFill="1" applyBorder="1" applyAlignment="1">
      <alignment horizontal="center" vertical="center"/>
    </xf>
    <xf numFmtId="0" fontId="35" fillId="2" borderId="54" xfId="0" applyFont="1" applyFill="1" applyBorder="1" applyAlignment="1">
      <alignment horizontal="center" vertical="center"/>
    </xf>
    <xf numFmtId="0" fontId="15" fillId="0" borderId="1" xfId="0" applyFont="1" applyBorder="1" applyAlignment="1">
      <alignment horizontal="center"/>
    </xf>
    <xf numFmtId="1" fontId="15" fillId="0" borderId="1" xfId="0" applyNumberFormat="1" applyFont="1" applyBorder="1" applyAlignment="1">
      <alignment horizontal="center"/>
    </xf>
    <xf numFmtId="1" fontId="14" fillId="0" borderId="1" xfId="0" applyNumberFormat="1" applyFont="1" applyBorder="1" applyAlignment="1">
      <alignment horizontal="center"/>
    </xf>
    <xf numFmtId="4" fontId="35" fillId="2" borderId="1" xfId="1" applyNumberFormat="1" applyFont="1" applyFill="1" applyBorder="1" applyAlignment="1">
      <alignment horizontal="center" vertical="center"/>
    </xf>
    <xf numFmtId="199" fontId="67" fillId="0" borderId="0" xfId="0" applyNumberFormat="1" applyFont="1"/>
    <xf numFmtId="0" fontId="16" fillId="2" borderId="11" xfId="0" applyFont="1" applyFill="1" applyBorder="1" applyAlignment="1">
      <alignment horizontal="center" wrapText="1"/>
    </xf>
    <xf numFmtId="9" fontId="14" fillId="0" borderId="1" xfId="3" applyFont="1" applyBorder="1" applyAlignment="1">
      <alignment horizontal="center"/>
    </xf>
    <xf numFmtId="0" fontId="1" fillId="0" borderId="0" xfId="0" applyFont="1" applyAlignment="1">
      <alignment wrapText="1"/>
    </xf>
    <xf numFmtId="0" fontId="0" fillId="0" borderId="0" xfId="0" applyFont="1" applyBorder="1"/>
    <xf numFmtId="0" fontId="0" fillId="0" borderId="0" xfId="0" applyBorder="1" applyAlignment="1">
      <alignment horizontal="center" vertical="center"/>
    </xf>
    <xf numFmtId="0" fontId="3" fillId="0" borderId="0" xfId="0" applyFont="1" applyBorder="1"/>
    <xf numFmtId="0" fontId="35" fillId="13" borderId="18" xfId="0" applyFont="1" applyFill="1" applyBorder="1" applyAlignment="1">
      <alignment horizontal="center"/>
    </xf>
    <xf numFmtId="176" fontId="0" fillId="0" borderId="0" xfId="1" applyFont="1" applyBorder="1"/>
    <xf numFmtId="0" fontId="3" fillId="0" borderId="1" xfId="0" applyFont="1" applyBorder="1" applyAlignment="1">
      <alignment horizontal="center"/>
    </xf>
    <xf numFmtId="0" fontId="0" fillId="0" borderId="0" xfId="0" applyBorder="1" applyAlignment="1">
      <alignment horizontal="center"/>
    </xf>
    <xf numFmtId="0" fontId="95" fillId="0" borderId="1" xfId="0" applyFont="1" applyBorder="1" applyAlignment="1">
      <alignment horizontal="justify" vertical="center" wrapText="1"/>
    </xf>
    <xf numFmtId="0" fontId="1" fillId="0" borderId="52" xfId="0" applyFont="1" applyBorder="1" applyAlignment="1">
      <alignment horizontal="center" vertical="top" wrapText="1"/>
    </xf>
    <xf numFmtId="0" fontId="1" fillId="0" borderId="0" xfId="0" applyFont="1" applyAlignment="1">
      <alignment horizontal="center" vertical="top" wrapText="1"/>
    </xf>
  </cellXfs>
  <cellStyles count="7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Comma 2" xfId="49"/>
    <cellStyle name="Comma 2 2" xfId="50"/>
    <cellStyle name="Comma 3" xfId="51"/>
    <cellStyle name="Comma 3 2" xfId="52"/>
    <cellStyle name="Comma 4" xfId="53"/>
    <cellStyle name="Currency 2" xfId="54"/>
    <cellStyle name="Currency 3" xfId="55"/>
    <cellStyle name="Énfasis1 2" xfId="56"/>
    <cellStyle name="Estilo 1" xfId="57"/>
    <cellStyle name="Millares 2" xfId="58"/>
    <cellStyle name="Millares 2 2" xfId="59"/>
    <cellStyle name="Millares 2 2 2" xfId="60"/>
    <cellStyle name="Millares 2 2 2 2" xfId="61"/>
    <cellStyle name="Millares 2 2 3" xfId="62"/>
    <cellStyle name="Millares 2 3" xfId="63"/>
    <cellStyle name="Moneda 2" xfId="64"/>
    <cellStyle name="Moneda 2 2" xfId="65"/>
    <cellStyle name="Moneda 3" xfId="66"/>
    <cellStyle name="Moneda 3 2" xfId="67"/>
    <cellStyle name="Navadno 3" xfId="68"/>
    <cellStyle name="Normal 2" xfId="69"/>
    <cellStyle name="Normal 2 2" xfId="70"/>
    <cellStyle name="Normal 2 2 3" xfId="71"/>
    <cellStyle name="Normal 2 2 4" xfId="72"/>
    <cellStyle name="Normal 3" xfId="73"/>
    <cellStyle name="Normal 3 2" xfId="74"/>
    <cellStyle name="Normal 4" xfId="75"/>
    <cellStyle name="Normal 6" xfId="76"/>
    <cellStyle name="Porcentaje 2 2" xfId="77"/>
    <cellStyle name="Porcentaje 4" xfId="78"/>
  </cellStyles>
  <tableStyles count="0" defaultTableStyle="TableStyleMedium2" defaultPivotStyle="PivotStyleLight16"/>
  <colors>
    <mruColors>
      <color rgb="009BC2E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externalLink" Target="externalLinks/externalLink3.xml"/><Relationship Id="rId25" Type="http://schemas.openxmlformats.org/officeDocument/2006/relationships/externalLink" Target="externalLinks/externalLink2.xml"/><Relationship Id="rId24" Type="http://schemas.openxmlformats.org/officeDocument/2006/relationships/externalLink" Target="externalLinks/externalLink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9" Type="http://schemas.openxmlformats.org/officeDocument/2006/relationships/image" Target="../media/image13.png"/><Relationship Id="rId8" Type="http://schemas.openxmlformats.org/officeDocument/2006/relationships/image" Target="../media/image12.png"/><Relationship Id="rId7" Type="http://schemas.openxmlformats.org/officeDocument/2006/relationships/image" Target="../media/image11.png"/><Relationship Id="rId6" Type="http://schemas.openxmlformats.org/officeDocument/2006/relationships/image" Target="../media/image10.png"/><Relationship Id="rId5" Type="http://schemas.openxmlformats.org/officeDocument/2006/relationships/image" Target="../media/image9.png"/><Relationship Id="rId4" Type="http://schemas.openxmlformats.org/officeDocument/2006/relationships/image" Target="../media/image8.png"/><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1251025</xdr:colOff>
      <xdr:row>59</xdr:row>
      <xdr:rowOff>90393</xdr:rowOff>
    </xdr:from>
    <xdr:to>
      <xdr:col>10</xdr:col>
      <xdr:colOff>401619</xdr:colOff>
      <xdr:row>62</xdr:row>
      <xdr:rowOff>95810</xdr:rowOff>
    </xdr:to>
    <xdr:pic>
      <xdr:nvPicPr>
        <xdr:cNvPr id="2" name="Imagen 1"/>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9504045" y="14352905"/>
          <a:ext cx="3379470" cy="6013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57617</xdr:colOff>
      <xdr:row>72</xdr:row>
      <xdr:rowOff>9843</xdr:rowOff>
    </xdr:from>
    <xdr:to>
      <xdr:col>6</xdr:col>
      <xdr:colOff>365126</xdr:colOff>
      <xdr:row>73</xdr:row>
      <xdr:rowOff>132844</xdr:rowOff>
    </xdr:to>
    <xdr:pic>
      <xdr:nvPicPr>
        <xdr:cNvPr id="3" name="Imagen 2"/>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4901565" y="16918305"/>
          <a:ext cx="2522855" cy="414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6</xdr:col>
      <xdr:colOff>923925</xdr:colOff>
      <xdr:row>99</xdr:row>
      <xdr:rowOff>87630</xdr:rowOff>
    </xdr:from>
    <xdr:to>
      <xdr:col>8</xdr:col>
      <xdr:colOff>542925</xdr:colOff>
      <xdr:row>105</xdr:row>
      <xdr:rowOff>76200</xdr:rowOff>
    </xdr:to>
    <xdr:sp>
      <xdr:nvSpPr>
        <xdr:cNvPr id="3" name="Arrow: Right 2"/>
        <xdr:cNvSpPr/>
      </xdr:nvSpPr>
      <xdr:spPr>
        <a:xfrm>
          <a:off x="8000365" y="16718280"/>
          <a:ext cx="1476375" cy="90297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8</xdr:col>
      <xdr:colOff>838200</xdr:colOff>
      <xdr:row>90</xdr:row>
      <xdr:rowOff>142875</xdr:rowOff>
    </xdr:from>
    <xdr:to>
      <xdr:col>15</xdr:col>
      <xdr:colOff>1217858</xdr:colOff>
      <xdr:row>120</xdr:row>
      <xdr:rowOff>208092</xdr:rowOff>
    </xdr:to>
    <xdr:pic>
      <xdr:nvPicPr>
        <xdr:cNvPr id="4" name="Picture 3"/>
        <xdr:cNvPicPr>
          <a:picLocks noChangeAspect="1"/>
        </xdr:cNvPicPr>
      </xdr:nvPicPr>
      <xdr:blipFill>
        <a:blip r:embed="rId1"/>
        <a:stretch>
          <a:fillRect/>
        </a:stretch>
      </xdr:blipFill>
      <xdr:spPr>
        <a:xfrm>
          <a:off x="9772015" y="15068550"/>
          <a:ext cx="6334125" cy="503682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781049</xdr:colOff>
      <xdr:row>99</xdr:row>
      <xdr:rowOff>23813</xdr:rowOff>
    </xdr:from>
    <xdr:to>
      <xdr:col>9</xdr:col>
      <xdr:colOff>477201</xdr:colOff>
      <xdr:row>108</xdr:row>
      <xdr:rowOff>130493</xdr:rowOff>
    </xdr:to>
    <xdr:pic>
      <xdr:nvPicPr>
        <xdr:cNvPr id="2" name="Imagen 1" descr="Resultado de imagen de Formula de volumen de la pirámide truncada"/>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8936355" y="19774535"/>
          <a:ext cx="2222500" cy="2392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15</xdr:col>
      <xdr:colOff>872491</xdr:colOff>
      <xdr:row>209</xdr:row>
      <xdr:rowOff>234315</xdr:rowOff>
    </xdr:from>
    <xdr:to>
      <xdr:col>19</xdr:col>
      <xdr:colOff>285751</xdr:colOff>
      <xdr:row>212</xdr:row>
      <xdr:rowOff>136412</xdr:rowOff>
    </xdr:to>
    <xdr:pic>
      <xdr:nvPicPr>
        <xdr:cNvPr id="2" name="Imagen 1"/>
        <xdr:cNvPicPr>
          <a:picLocks noChangeAspect="1"/>
        </xdr:cNvPicPr>
      </xdr:nvPicPr>
      <xdr:blipFill>
        <a:blip r:embed="rId1"/>
        <a:srcRect r="5208"/>
        <a:stretch>
          <a:fillRect/>
        </a:stretch>
      </xdr:blipFill>
      <xdr:spPr>
        <a:xfrm>
          <a:off x="16481425" y="37408485"/>
          <a:ext cx="3783330" cy="945515"/>
        </a:xfrm>
        <a:prstGeom prst="rect">
          <a:avLst/>
        </a:prstGeom>
      </xdr:spPr>
    </xdr:pic>
    <xdr:clientData/>
  </xdr:twoCellAnchor>
  <xdr:twoCellAnchor editAs="oneCell">
    <xdr:from>
      <xdr:col>15</xdr:col>
      <xdr:colOff>1011555</xdr:colOff>
      <xdr:row>224</xdr:row>
      <xdr:rowOff>93345</xdr:rowOff>
    </xdr:from>
    <xdr:to>
      <xdr:col>19</xdr:col>
      <xdr:colOff>472440</xdr:colOff>
      <xdr:row>228</xdr:row>
      <xdr:rowOff>17694</xdr:rowOff>
    </xdr:to>
    <xdr:pic>
      <xdr:nvPicPr>
        <xdr:cNvPr id="3" name="Imagen 2"/>
        <xdr:cNvPicPr>
          <a:picLocks noChangeAspect="1"/>
        </xdr:cNvPicPr>
      </xdr:nvPicPr>
      <xdr:blipFill>
        <a:blip r:embed="rId2"/>
        <a:stretch>
          <a:fillRect/>
        </a:stretch>
      </xdr:blipFill>
      <xdr:spPr>
        <a:xfrm>
          <a:off x="16601440" y="40349805"/>
          <a:ext cx="3850005" cy="609600"/>
        </a:xfrm>
        <a:prstGeom prst="rect">
          <a:avLst/>
        </a:prstGeom>
      </xdr:spPr>
    </xdr:pic>
    <xdr:clientData/>
  </xdr:twoCellAnchor>
  <xdr:twoCellAnchor editAs="oneCell">
    <xdr:from>
      <xdr:col>16</xdr:col>
      <xdr:colOff>129540</xdr:colOff>
      <xdr:row>218</xdr:row>
      <xdr:rowOff>30480</xdr:rowOff>
    </xdr:from>
    <xdr:to>
      <xdr:col>19</xdr:col>
      <xdr:colOff>475769</xdr:colOff>
      <xdr:row>221</xdr:row>
      <xdr:rowOff>172328</xdr:rowOff>
    </xdr:to>
    <xdr:pic>
      <xdr:nvPicPr>
        <xdr:cNvPr id="4" name="Imagen 3"/>
        <xdr:cNvPicPr>
          <a:picLocks noChangeAspect="1"/>
        </xdr:cNvPicPr>
      </xdr:nvPicPr>
      <xdr:blipFill>
        <a:blip r:embed="rId3"/>
        <a:stretch>
          <a:fillRect/>
        </a:stretch>
      </xdr:blipFill>
      <xdr:spPr>
        <a:xfrm>
          <a:off x="16730980" y="39258240"/>
          <a:ext cx="3723640" cy="655955"/>
        </a:xfrm>
        <a:prstGeom prst="rect">
          <a:avLst/>
        </a:prstGeom>
      </xdr:spPr>
    </xdr:pic>
    <xdr:clientData/>
  </xdr:twoCellAnchor>
  <xdr:twoCellAnchor editAs="oneCell">
    <xdr:from>
      <xdr:col>15</xdr:col>
      <xdr:colOff>935355</xdr:colOff>
      <xdr:row>214</xdr:row>
      <xdr:rowOff>30480</xdr:rowOff>
    </xdr:from>
    <xdr:to>
      <xdr:col>19</xdr:col>
      <xdr:colOff>287175</xdr:colOff>
      <xdr:row>216</xdr:row>
      <xdr:rowOff>171382</xdr:rowOff>
    </xdr:to>
    <xdr:pic>
      <xdr:nvPicPr>
        <xdr:cNvPr id="5" name="Imagen 4"/>
        <xdr:cNvPicPr>
          <a:picLocks noChangeAspect="1"/>
        </xdr:cNvPicPr>
      </xdr:nvPicPr>
      <xdr:blipFill>
        <a:blip r:embed="rId4"/>
        <a:stretch>
          <a:fillRect/>
        </a:stretch>
      </xdr:blipFill>
      <xdr:spPr>
        <a:xfrm>
          <a:off x="16544290" y="38572440"/>
          <a:ext cx="3721735" cy="483235"/>
        </a:xfrm>
        <a:prstGeom prst="rect">
          <a:avLst/>
        </a:prstGeom>
      </xdr:spPr>
    </xdr:pic>
    <xdr:clientData/>
  </xdr:twoCellAnchor>
  <xdr:twoCellAnchor editAs="oneCell">
    <xdr:from>
      <xdr:col>12</xdr:col>
      <xdr:colOff>169545</xdr:colOff>
      <xdr:row>228</xdr:row>
      <xdr:rowOff>140970</xdr:rowOff>
    </xdr:from>
    <xdr:to>
      <xdr:col>15</xdr:col>
      <xdr:colOff>400156</xdr:colOff>
      <xdr:row>232</xdr:row>
      <xdr:rowOff>18977</xdr:rowOff>
    </xdr:to>
    <xdr:pic>
      <xdr:nvPicPr>
        <xdr:cNvPr id="6" name="Imagen 5"/>
        <xdr:cNvPicPr>
          <a:picLocks noChangeAspect="1"/>
        </xdr:cNvPicPr>
      </xdr:nvPicPr>
      <xdr:blipFill>
        <a:blip r:embed="rId5"/>
        <a:stretch>
          <a:fillRect/>
        </a:stretch>
      </xdr:blipFill>
      <xdr:spPr>
        <a:xfrm>
          <a:off x="12289155" y="41083230"/>
          <a:ext cx="3719830" cy="563245"/>
        </a:xfrm>
        <a:prstGeom prst="rect">
          <a:avLst/>
        </a:prstGeom>
      </xdr:spPr>
    </xdr:pic>
    <xdr:clientData/>
  </xdr:twoCellAnchor>
  <xdr:twoCellAnchor editAs="oneCell">
    <xdr:from>
      <xdr:col>12</xdr:col>
      <xdr:colOff>167640</xdr:colOff>
      <xdr:row>222</xdr:row>
      <xdr:rowOff>158115</xdr:rowOff>
    </xdr:from>
    <xdr:to>
      <xdr:col>15</xdr:col>
      <xdr:colOff>360155</xdr:colOff>
      <xdr:row>226</xdr:row>
      <xdr:rowOff>18977</xdr:rowOff>
    </xdr:to>
    <xdr:pic>
      <xdr:nvPicPr>
        <xdr:cNvPr id="7" name="Imagen 6"/>
        <xdr:cNvPicPr>
          <a:picLocks noChangeAspect="1"/>
        </xdr:cNvPicPr>
      </xdr:nvPicPr>
      <xdr:blipFill>
        <a:blip r:embed="rId6"/>
        <a:stretch>
          <a:fillRect/>
        </a:stretch>
      </xdr:blipFill>
      <xdr:spPr>
        <a:xfrm>
          <a:off x="12287250" y="40071675"/>
          <a:ext cx="3681730" cy="546100"/>
        </a:xfrm>
        <a:prstGeom prst="rect">
          <a:avLst/>
        </a:prstGeom>
      </xdr:spPr>
    </xdr:pic>
    <xdr:clientData/>
  </xdr:twoCellAnchor>
  <xdr:twoCellAnchor editAs="oneCell">
    <xdr:from>
      <xdr:col>12</xdr:col>
      <xdr:colOff>129540</xdr:colOff>
      <xdr:row>217</xdr:row>
      <xdr:rowOff>30480</xdr:rowOff>
    </xdr:from>
    <xdr:to>
      <xdr:col>15</xdr:col>
      <xdr:colOff>360630</xdr:colOff>
      <xdr:row>220</xdr:row>
      <xdr:rowOff>95178</xdr:rowOff>
    </xdr:to>
    <xdr:pic>
      <xdr:nvPicPr>
        <xdr:cNvPr id="8" name="Imagen 7"/>
        <xdr:cNvPicPr>
          <a:picLocks noChangeAspect="1"/>
        </xdr:cNvPicPr>
      </xdr:nvPicPr>
      <xdr:blipFill>
        <a:blip r:embed="rId7"/>
        <a:stretch>
          <a:fillRect/>
        </a:stretch>
      </xdr:blipFill>
      <xdr:spPr>
        <a:xfrm>
          <a:off x="12249150" y="39086790"/>
          <a:ext cx="3719830" cy="578485"/>
        </a:xfrm>
        <a:prstGeom prst="rect">
          <a:avLst/>
        </a:prstGeom>
      </xdr:spPr>
    </xdr:pic>
    <xdr:clientData/>
  </xdr:twoCellAnchor>
  <xdr:twoCellAnchor editAs="oneCell">
    <xdr:from>
      <xdr:col>12</xdr:col>
      <xdr:colOff>31750</xdr:colOff>
      <xdr:row>211</xdr:row>
      <xdr:rowOff>589280</xdr:rowOff>
    </xdr:from>
    <xdr:to>
      <xdr:col>15</xdr:col>
      <xdr:colOff>296642</xdr:colOff>
      <xdr:row>215</xdr:row>
      <xdr:rowOff>131981</xdr:rowOff>
    </xdr:to>
    <xdr:pic>
      <xdr:nvPicPr>
        <xdr:cNvPr id="9" name="Imagen 8"/>
        <xdr:cNvPicPr>
          <a:picLocks noChangeAspect="1"/>
        </xdr:cNvPicPr>
      </xdr:nvPicPr>
      <xdr:blipFill>
        <a:blip r:embed="rId8"/>
        <a:stretch>
          <a:fillRect/>
        </a:stretch>
      </xdr:blipFill>
      <xdr:spPr>
        <a:xfrm>
          <a:off x="12151360" y="38159690"/>
          <a:ext cx="3754120" cy="685165"/>
        </a:xfrm>
        <a:prstGeom prst="rect">
          <a:avLst/>
        </a:prstGeom>
      </xdr:spPr>
    </xdr:pic>
    <xdr:clientData/>
  </xdr:twoCellAnchor>
  <xdr:twoCellAnchor editAs="oneCell">
    <xdr:from>
      <xdr:col>11</xdr:col>
      <xdr:colOff>914400</xdr:colOff>
      <xdr:row>209</xdr:row>
      <xdr:rowOff>47625</xdr:rowOff>
    </xdr:from>
    <xdr:to>
      <xdr:col>15</xdr:col>
      <xdr:colOff>94957</xdr:colOff>
      <xdr:row>211</xdr:row>
      <xdr:rowOff>285677</xdr:rowOff>
    </xdr:to>
    <xdr:pic>
      <xdr:nvPicPr>
        <xdr:cNvPr id="10" name="Imagen 9"/>
        <xdr:cNvPicPr>
          <a:picLocks noChangeAspect="1"/>
        </xdr:cNvPicPr>
      </xdr:nvPicPr>
      <xdr:blipFill>
        <a:blip r:embed="rId9"/>
        <a:stretch>
          <a:fillRect/>
        </a:stretch>
      </xdr:blipFill>
      <xdr:spPr>
        <a:xfrm>
          <a:off x="11989435" y="37294185"/>
          <a:ext cx="3714115" cy="5613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ttps://d.docs.live.net/f8b65231919d7846/Documents/5%20Fano%20^0%20Co/Residuos%20S&#243;lidos/Proyecto%202%20(Chihuahua)/Chihuahua%20WS/Julio/20230701_MDC_Chihuahu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ttps://d.docs.live.net/Users/emmas/Downloads/MDC_Chihuahua_03072023%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ttps://d.docs.live.net/Users/jliraqui/Documents/Apoyos%20No%20Recuperables/Chihuahua/ACB/Demanda%20Chihuahua.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 Parametros Grales"/>
      <sheetName val="I.1 Proyecciones Población"/>
      <sheetName val="II. Caracterizacion RSU"/>
      <sheetName val="III. Sit. Actual O-D"/>
      <sheetName val="IV. Sit. Sin Proy O-D"/>
      <sheetName val="V.1 CAE Alt 1"/>
      <sheetName val="V.2 CAE Alt 2"/>
      <sheetName val="V2.2. Costos Alt2"/>
      <sheetName val="V. Sit.Con Proyecto"/>
      <sheetName val="Estaciones de Transferencia"/>
      <sheetName val="VI. Cuanti_Beneficios"/>
      <sheetName val="VII. Costos de Inversión"/>
      <sheetName val="VII.1 Calendario"/>
      <sheetName val="Hoja1"/>
      <sheetName val="VIII. Costos Op y Mant"/>
      <sheetName val="IX. Costos MantenimientoMayor"/>
      <sheetName val="X. Evaluacion Social"/>
      <sheetName val="XIa. Sensibilidad A"/>
      <sheetName val="XIb. Sensibilidad B"/>
      <sheetName val="XIc. Sensibilidad C"/>
    </sheetNames>
    <sheetDataSet>
      <sheetData sheetId="0"/>
      <sheetData sheetId="1"/>
      <sheetData sheetId="2">
        <row r="6">
          <cell r="C6">
            <v>0.229258032448241</v>
          </cell>
        </row>
        <row r="7">
          <cell r="C7">
            <v>0.0244986733254177</v>
          </cell>
        </row>
        <row r="10">
          <cell r="C10">
            <v>0.104821036737702</v>
          </cell>
        </row>
        <row r="23">
          <cell r="C23">
            <v>0.0237473920646883</v>
          </cell>
        </row>
        <row r="24">
          <cell r="C24">
            <v>0.0191297053589517</v>
          </cell>
        </row>
        <row r="25">
          <cell r="C25">
            <v>0.0105853088696526</v>
          </cell>
        </row>
        <row r="27">
          <cell r="C27">
            <v>0.0346498699309482</v>
          </cell>
        </row>
        <row r="28">
          <cell r="C28">
            <v>0.0117190438684641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 Parametros Grales"/>
      <sheetName val="II. Población"/>
      <sheetName val="III. Caracterizacion RSU"/>
      <sheetName val="III. Sit. Actual O-D"/>
      <sheetName val="IV. Sit. Sin Proy O-D"/>
      <sheetName val="V. Sit.Con Proyecto"/>
      <sheetName val="V.1. ET"/>
      <sheetName val="IV.1 CAE Alt 1"/>
      <sheetName val="IV.2 CAE Alt 2"/>
      <sheetName val="V1. Costos de Inversión"/>
      <sheetName val="V2. Costos Op y Mant"/>
      <sheetName val="IV.3. Costos Op y Mant_Alt"/>
      <sheetName val="IV.3.Costos de Inversión Alt"/>
      <sheetName val="Calendario"/>
      <sheetName val="VI. Cuanti_Beneficios"/>
      <sheetName val="Hoja1"/>
      <sheetName val="X. Evaluacion Social"/>
      <sheetName val="XIa. Sensibilidad A"/>
      <sheetName val="XIb. Sensibilidad B"/>
      <sheetName val="XIc. Sensibilidad C"/>
    </sheetNames>
    <sheetDataSet>
      <sheetData sheetId="0"/>
      <sheetData sheetId="1"/>
      <sheetData sheetId="2"/>
      <sheetData sheetId="3"/>
      <sheetData sheetId="4"/>
      <sheetData sheetId="5">
        <row r="29">
          <cell r="F29">
            <v>288530.753960131</v>
          </cell>
        </row>
        <row r="83">
          <cell r="L83">
            <v>67296.814407382</v>
          </cell>
        </row>
      </sheetData>
      <sheetData sheetId="6"/>
      <sheetData sheetId="7"/>
      <sheetData sheetId="8"/>
      <sheetData sheetId="9">
        <row r="11">
          <cell r="P11">
            <v>0</v>
          </cell>
        </row>
        <row r="12">
          <cell r="P12">
            <v>0</v>
          </cell>
        </row>
        <row r="13">
          <cell r="P13">
            <v>0</v>
          </cell>
        </row>
      </sheetData>
      <sheetData sheetId="10">
        <row r="11">
          <cell r="O11">
            <v>95323624.4790142</v>
          </cell>
          <cell r="P11">
            <v>19798170.692075</v>
          </cell>
          <cell r="Q11">
            <v>12369770.913825</v>
          </cell>
          <cell r="R11">
            <v>2962136.74347745</v>
          </cell>
          <cell r="S11">
            <v>32289776.026</v>
          </cell>
          <cell r="T11">
            <v>36825855.3788299</v>
          </cell>
        </row>
        <row r="12">
          <cell r="O12">
            <v>95323624.4790142</v>
          </cell>
          <cell r="P12">
            <v>19940727.1042945</v>
          </cell>
          <cell r="Q12">
            <v>12369770.913825</v>
          </cell>
          <cell r="R12">
            <v>2982576.1659413</v>
          </cell>
          <cell r="S12">
            <v>32289776.026</v>
          </cell>
          <cell r="T12">
            <v>37091019.3629863</v>
          </cell>
        </row>
        <row r="13">
          <cell r="O13">
            <v>95323624.4790142</v>
          </cell>
          <cell r="P13">
            <v>20078322.6918104</v>
          </cell>
          <cell r="Q13">
            <v>12369770.913825</v>
          </cell>
          <cell r="R13">
            <v>3001961.62712943</v>
          </cell>
          <cell r="S13">
            <v>32289776.026</v>
          </cell>
          <cell r="T13">
            <v>37346955.8980044</v>
          </cell>
        </row>
        <row r="14">
          <cell r="O14">
            <v>95323624.4790142</v>
          </cell>
          <cell r="P14">
            <v>20208823.14632</v>
          </cell>
          <cell r="Q14">
            <v>12369770.913825</v>
          </cell>
          <cell r="R14">
            <v>3020875.80482027</v>
          </cell>
          <cell r="S14">
            <v>32289776.026</v>
          </cell>
          <cell r="T14">
            <v>37589695.034836</v>
          </cell>
        </row>
        <row r="15">
          <cell r="O15">
            <v>95323624.4790142</v>
          </cell>
          <cell r="P15">
            <v>20336150.9803795</v>
          </cell>
          <cell r="Q15">
            <v>12369770.913825</v>
          </cell>
          <cell r="R15">
            <v>3038696.0335447</v>
          </cell>
          <cell r="S15">
            <v>32289776.026</v>
          </cell>
          <cell r="T15">
            <v>37826532.8960559</v>
          </cell>
        </row>
        <row r="16">
          <cell r="O16">
            <v>95323624.4790142</v>
          </cell>
          <cell r="P16">
            <v>20456114.4893945</v>
          </cell>
          <cell r="Q16">
            <v>12369770.913825</v>
          </cell>
          <cell r="R16">
            <v>3055679.27283888</v>
          </cell>
          <cell r="S16">
            <v>32289776.026</v>
          </cell>
          <cell r="T16">
            <v>38049672.644795</v>
          </cell>
        </row>
        <row r="17">
          <cell r="O17">
            <v>95323624.4790142</v>
          </cell>
          <cell r="P17">
            <v>20570443.4922192</v>
          </cell>
          <cell r="Q17">
            <v>12369770.913825</v>
          </cell>
          <cell r="R17">
            <v>3071810.05437797</v>
          </cell>
          <cell r="S17">
            <v>32289776.026</v>
          </cell>
          <cell r="T17">
            <v>38262331.8540276</v>
          </cell>
        </row>
        <row r="18">
          <cell r="O18">
            <v>95323624.4790142</v>
          </cell>
          <cell r="P18">
            <v>20679033.8580618</v>
          </cell>
          <cell r="Q18">
            <v>12369770.913825</v>
          </cell>
          <cell r="R18">
            <v>3087073.61147213</v>
          </cell>
          <cell r="S18">
            <v>32289776.026</v>
          </cell>
          <cell r="T18">
            <v>38464316.8338649</v>
          </cell>
        </row>
        <row r="19">
          <cell r="O19">
            <v>95323624.4790142</v>
          </cell>
          <cell r="P19">
            <v>20781786.179448</v>
          </cell>
          <cell r="Q19">
            <v>12369770.913825</v>
          </cell>
          <cell r="R19">
            <v>3101455.90151841</v>
          </cell>
          <cell r="S19">
            <v>32289776.026</v>
          </cell>
          <cell r="T19">
            <v>38655442.6800886</v>
          </cell>
        </row>
        <row r="20">
          <cell r="O20">
            <v>95323624.4790142</v>
          </cell>
          <cell r="P20">
            <v>20878605.923364</v>
          </cell>
          <cell r="Q20">
            <v>12369770.913825</v>
          </cell>
          <cell r="R20">
            <v>3114943.62746266</v>
          </cell>
          <cell r="S20">
            <v>32289776.026</v>
          </cell>
          <cell r="T20">
            <v>38835533.5552872</v>
          </cell>
        </row>
        <row r="21">
          <cell r="O21">
            <v>95323624.4790142</v>
          </cell>
          <cell r="P21">
            <v>20969403.5757357</v>
          </cell>
          <cell r="Q21">
            <v>12369770.913825</v>
          </cell>
          <cell r="R21">
            <v>3127524.25822558</v>
          </cell>
          <cell r="S21">
            <v>32289776.026</v>
          </cell>
          <cell r="T21">
            <v>39004422.9575953</v>
          </cell>
        </row>
        <row r="22">
          <cell r="O22">
            <v>95323624.4790142</v>
          </cell>
          <cell r="P22">
            <v>21054094.7789341</v>
          </cell>
          <cell r="Q22">
            <v>12369770.913825</v>
          </cell>
          <cell r="R22">
            <v>3139186.04804927</v>
          </cell>
          <cell r="S22">
            <v>32289776.026</v>
          </cell>
          <cell r="T22">
            <v>39161953.9764633</v>
          </cell>
        </row>
        <row r="23">
          <cell r="O23">
            <v>95323624.4790142</v>
          </cell>
          <cell r="P23">
            <v>21132600.4620137</v>
          </cell>
          <cell r="Q23">
            <v>12369770.913825</v>
          </cell>
          <cell r="R23">
            <v>3149918.05472242</v>
          </cell>
          <cell r="S23">
            <v>32289776.026</v>
          </cell>
          <cell r="T23">
            <v>39307979.5349084</v>
          </cell>
        </row>
        <row r="24">
          <cell r="O24">
            <v>95323624.4790142</v>
          </cell>
          <cell r="P24">
            <v>21204846.9634022</v>
          </cell>
          <cell r="Q24">
            <v>12369770.913825</v>
          </cell>
          <cell r="R24">
            <v>3159710.15664487</v>
          </cell>
          <cell r="S24">
            <v>32289776.026</v>
          </cell>
          <cell r="T24">
            <v>39442362.6177266</v>
          </cell>
        </row>
        <row r="25">
          <cell r="O25">
            <v>95323624.4790142</v>
          </cell>
          <cell r="P25">
            <v>21270766.1457773</v>
          </cell>
          <cell r="Q25">
            <v>12369770.913825</v>
          </cell>
          <cell r="R25">
            <v>3168553.06869418</v>
          </cell>
          <cell r="S25">
            <v>32289776.026</v>
          </cell>
          <cell r="T25">
            <v>39564976.4851687</v>
          </cell>
        </row>
        <row r="26">
          <cell r="O26">
            <v>95323624.4790142</v>
          </cell>
          <cell r="P26">
            <v>21330295.5028777</v>
          </cell>
          <cell r="Q26">
            <v>12369770.913825</v>
          </cell>
          <cell r="R26">
            <v>3176438.35685964</v>
          </cell>
          <cell r="S26">
            <v>32289776.026</v>
          </cell>
          <cell r="T26">
            <v>39675704.8716176</v>
          </cell>
        </row>
        <row r="27">
          <cell r="O27">
            <v>95323624.4790142</v>
          </cell>
          <cell r="P27">
            <v>21383378.258018</v>
          </cell>
          <cell r="Q27">
            <v>12369770.913825</v>
          </cell>
          <cell r="R27">
            <v>3183358.45161143</v>
          </cell>
          <cell r="S27">
            <v>32289776.026</v>
          </cell>
          <cell r="T27">
            <v>39774442.1688311</v>
          </cell>
        </row>
        <row r="28">
          <cell r="O28">
            <v>95323624.4790142</v>
          </cell>
          <cell r="P28">
            <v>21429963.4540881</v>
          </cell>
          <cell r="Q28">
            <v>12369770.913825</v>
          </cell>
          <cell r="R28">
            <v>3189306.65997539</v>
          </cell>
          <cell r="S28">
            <v>32289776.026</v>
          </cell>
          <cell r="T28">
            <v>39861093.5933467</v>
          </cell>
        </row>
        <row r="29">
          <cell r="O29">
            <v>95323624.4790142</v>
          </cell>
          <cell r="P29">
            <v>21470006.0348387</v>
          </cell>
          <cell r="Q29">
            <v>12369770.913825</v>
          </cell>
          <cell r="R29">
            <v>3194277.17628649</v>
          </cell>
          <cell r="S29">
            <v>32289776.026</v>
          </cell>
          <cell r="T29">
            <v>39935575.3376782</v>
          </cell>
        </row>
        <row r="30">
          <cell r="O30">
            <v>95323624.4790142</v>
          </cell>
          <cell r="P30">
            <v>21503466.9172728</v>
          </cell>
          <cell r="Q30">
            <v>12369770.913825</v>
          </cell>
          <cell r="R30">
            <v>3198265.09159694</v>
          </cell>
          <cell r="S30">
            <v>32289776.026</v>
          </cell>
          <cell r="T30">
            <v>39997814.7049678</v>
          </cell>
        </row>
        <row r="31">
          <cell r="O31">
            <v>95323624.4790142</v>
          </cell>
          <cell r="P31">
            <v>21530313.0549792</v>
          </cell>
          <cell r="Q31">
            <v>12369770.913825</v>
          </cell>
          <cell r="R31">
            <v>3201266.40171755</v>
          </cell>
          <cell r="S31">
            <v>32289776.026</v>
          </cell>
          <cell r="T31">
            <v>40047750.2267912</v>
          </cell>
        </row>
        <row r="32">
          <cell r="O32">
            <v>95323624.4790142</v>
          </cell>
          <cell r="P32">
            <v>21550517.4922667</v>
          </cell>
          <cell r="Q32">
            <v>12369770.913825</v>
          </cell>
          <cell r="R32">
            <v>3203278.01387412</v>
          </cell>
          <cell r="S32">
            <v>32289776.026</v>
          </cell>
          <cell r="T32">
            <v>40085331.7638498</v>
          </cell>
        </row>
        <row r="33">
          <cell r="O33">
            <v>95323624.4790142</v>
          </cell>
          <cell r="P33">
            <v>21564059.4089733</v>
          </cell>
          <cell r="Q33">
            <v>12369770.913825</v>
          </cell>
          <cell r="R33">
            <v>3204297.75196339</v>
          </cell>
          <cell r="S33">
            <v>32289776.026</v>
          </cell>
          <cell r="T33">
            <v>40110520.58932</v>
          </cell>
        </row>
        <row r="34">
          <cell r="O34">
            <v>95323624.4790142</v>
          </cell>
          <cell r="P34">
            <v>21570924.1558493</v>
          </cell>
          <cell r="Q34">
            <v>12369770.913825</v>
          </cell>
          <cell r="R34">
            <v>3205317.81467818</v>
          </cell>
          <cell r="S34">
            <v>32289776.026</v>
          </cell>
          <cell r="T34">
            <v>40123289.4546661</v>
          </cell>
        </row>
        <row r="35">
          <cell r="O35">
            <v>95323624.4790142</v>
          </cell>
          <cell r="P35">
            <v>21577791.0880629</v>
          </cell>
          <cell r="Q35">
            <v>12369770.913825</v>
          </cell>
          <cell r="R35">
            <v>3206338.20212182</v>
          </cell>
          <cell r="S35">
            <v>32289776.026</v>
          </cell>
          <cell r="T35">
            <v>40136062.384879</v>
          </cell>
        </row>
        <row r="36">
          <cell r="O36">
            <v>95323624.4790142</v>
          </cell>
          <cell r="P36">
            <v>21584660.2063097</v>
          </cell>
          <cell r="Q36">
            <v>12369770.913825</v>
          </cell>
          <cell r="R36">
            <v>3207358.91439769</v>
          </cell>
          <cell r="S36">
            <v>32289776.026</v>
          </cell>
          <cell r="T36">
            <v>40148839.3812528</v>
          </cell>
        </row>
        <row r="37">
          <cell r="O37">
            <v>95323624.4790142</v>
          </cell>
          <cell r="P37">
            <v>21591531.5112858</v>
          </cell>
          <cell r="Q37">
            <v>12369770.913825</v>
          </cell>
          <cell r="R37">
            <v>3208379.9516092</v>
          </cell>
          <cell r="S37">
            <v>32289776.026</v>
          </cell>
          <cell r="T37">
            <v>40161620.4450817</v>
          </cell>
        </row>
        <row r="38">
          <cell r="O38">
            <v>95323624.4790142</v>
          </cell>
          <cell r="P38">
            <v>21598405.0036871</v>
          </cell>
          <cell r="Q38">
            <v>12369770.913825</v>
          </cell>
          <cell r="R38">
            <v>3209401.31385979</v>
          </cell>
          <cell r="S38">
            <v>32289776.026</v>
          </cell>
          <cell r="T38">
            <v>40174405.5776607</v>
          </cell>
        </row>
        <row r="39">
          <cell r="O39">
            <v>95323624.4790142</v>
          </cell>
          <cell r="P39">
            <v>21605280.6842101</v>
          </cell>
          <cell r="Q39">
            <v>12369770.913825</v>
          </cell>
          <cell r="R39">
            <v>3210423.00125293</v>
          </cell>
          <cell r="S39">
            <v>32289776.026</v>
          </cell>
          <cell r="T39">
            <v>40187194.780285</v>
          </cell>
        </row>
        <row r="40">
          <cell r="O40">
            <v>95323624.4790142</v>
          </cell>
          <cell r="P40">
            <v>21612158.5535514</v>
          </cell>
          <cell r="Q40">
            <v>12369770.913825</v>
          </cell>
          <cell r="R40">
            <v>3211445.01389213</v>
          </cell>
          <cell r="S40">
            <v>32289776.026</v>
          </cell>
          <cell r="T40">
            <v>40199988.0542503</v>
          </cell>
        </row>
        <row r="41">
          <cell r="O41">
            <v>95323624.4790142</v>
          </cell>
          <cell r="P41">
            <v>21619038.6124076</v>
          </cell>
          <cell r="Q41">
            <v>12369770.913825</v>
          </cell>
          <cell r="R41">
            <v>3212467.35188093</v>
          </cell>
          <cell r="S41">
            <v>32289776.026</v>
          </cell>
          <cell r="T41">
            <v>40212785.4008526</v>
          </cell>
        </row>
        <row r="42">
          <cell r="O42">
            <v>95323624.4790142</v>
          </cell>
          <cell r="P42">
            <v>21625920.861476</v>
          </cell>
          <cell r="Q42">
            <v>12369770.913825</v>
          </cell>
          <cell r="R42">
            <v>3213490.01532291</v>
          </cell>
          <cell r="S42">
            <v>32289776.026</v>
          </cell>
          <cell r="T42">
            <v>40225586.8213885</v>
          </cell>
        </row>
        <row r="43">
          <cell r="O43">
            <v>95323624.4790142</v>
          </cell>
          <cell r="P43">
            <v>21632805.3014535</v>
          </cell>
          <cell r="Q43">
            <v>12369770.913825</v>
          </cell>
          <cell r="R43">
            <v>3214513.00432165</v>
          </cell>
          <cell r="S43">
            <v>32289776.026</v>
          </cell>
          <cell r="T43">
            <v>40238392.3171549</v>
          </cell>
        </row>
        <row r="44">
          <cell r="O44">
            <v>95323624.4790142</v>
          </cell>
          <cell r="P44">
            <v>21639691.9330379</v>
          </cell>
          <cell r="Q44">
            <v>12369770.913825</v>
          </cell>
          <cell r="R44">
            <v>3215536.31898081</v>
          </cell>
          <cell r="S44">
            <v>32289776.026</v>
          </cell>
          <cell r="T44">
            <v>40251201.889449</v>
          </cell>
        </row>
        <row r="45">
          <cell r="O45">
            <v>95323624.4790142</v>
          </cell>
          <cell r="P45">
            <v>21646580.7569266</v>
          </cell>
          <cell r="Q45">
            <v>12369770.913825</v>
          </cell>
          <cell r="R45">
            <v>3216559.95940406</v>
          </cell>
          <cell r="S45">
            <v>32289776.026</v>
          </cell>
          <cell r="T45">
            <v>40264015.5395686</v>
          </cell>
        </row>
        <row r="46">
          <cell r="O46">
            <v>95323624.4790142</v>
          </cell>
          <cell r="P46">
            <v>21653471.7738176</v>
          </cell>
          <cell r="Q46">
            <v>12369770.913825</v>
          </cell>
          <cell r="R46">
            <v>3217583.9256951</v>
          </cell>
          <cell r="S46">
            <v>32289776.026</v>
          </cell>
          <cell r="T46">
            <v>40276833.2688119</v>
          </cell>
        </row>
        <row r="47">
          <cell r="O47">
            <v>95323624.4790142</v>
          </cell>
          <cell r="P47">
            <v>21660364.9844091</v>
          </cell>
          <cell r="Q47">
            <v>12369770.913825</v>
          </cell>
          <cell r="R47">
            <v>3218608.21795766</v>
          </cell>
          <cell r="S47">
            <v>32289776.026</v>
          </cell>
          <cell r="T47">
            <v>40289655.0784773</v>
          </cell>
        </row>
        <row r="48">
          <cell r="O48">
            <v>95323624.4790142</v>
          </cell>
          <cell r="P48">
            <v>21667260.3893994</v>
          </cell>
          <cell r="Q48">
            <v>12369770.913825</v>
          </cell>
          <cell r="R48">
            <v>3219632.83629553</v>
          </cell>
          <cell r="S48">
            <v>32289776.026</v>
          </cell>
          <cell r="T48">
            <v>40302480.969864</v>
          </cell>
        </row>
      </sheetData>
      <sheetData sheetId="11"/>
      <sheetData sheetId="12">
        <row r="11">
          <cell r="O11">
            <v>0</v>
          </cell>
        </row>
        <row r="21">
          <cell r="E21">
            <v>411065133.91</v>
          </cell>
        </row>
      </sheetData>
      <sheetData sheetId="13"/>
      <sheetData sheetId="14"/>
      <sheetData sheetId="15"/>
      <sheetData sheetId="16">
        <row r="18">
          <cell r="I18">
            <v>0</v>
          </cell>
        </row>
        <row r="18">
          <cell r="K18">
            <v>0</v>
          </cell>
        </row>
        <row r="18">
          <cell r="O18">
            <v>-1131714440.1695</v>
          </cell>
        </row>
        <row r="19">
          <cell r="O19">
            <v>225851143.54582</v>
          </cell>
        </row>
        <row r="20">
          <cell r="O20">
            <v>313234508.370391</v>
          </cell>
        </row>
        <row r="21">
          <cell r="J21">
            <v>0</v>
          </cell>
        </row>
        <row r="21">
          <cell r="O21">
            <v>336555721.374354</v>
          </cell>
        </row>
        <row r="22">
          <cell r="J22">
            <v>0</v>
          </cell>
        </row>
        <row r="22">
          <cell r="O22">
            <v>351803925.415744</v>
          </cell>
        </row>
        <row r="23">
          <cell r="J23">
            <v>0</v>
          </cell>
        </row>
        <row r="23">
          <cell r="O23">
            <v>360494987.616244</v>
          </cell>
        </row>
        <row r="24">
          <cell r="J24">
            <v>0</v>
          </cell>
        </row>
        <row r="24">
          <cell r="O24">
            <v>362796295.818417</v>
          </cell>
        </row>
        <row r="25">
          <cell r="J25">
            <v>0</v>
          </cell>
        </row>
        <row r="25">
          <cell r="O25">
            <v>346643345.747117</v>
          </cell>
        </row>
        <row r="26">
          <cell r="J26">
            <v>0</v>
          </cell>
        </row>
        <row r="26">
          <cell r="O26">
            <v>300852397.289671</v>
          </cell>
        </row>
        <row r="27">
          <cell r="J27">
            <v>0</v>
          </cell>
        </row>
        <row r="27">
          <cell r="O27">
            <v>352902071.763088</v>
          </cell>
        </row>
        <row r="28">
          <cell r="J28">
            <v>0</v>
          </cell>
        </row>
        <row r="28">
          <cell r="O28">
            <v>344368484.311281</v>
          </cell>
        </row>
        <row r="29">
          <cell r="J29">
            <v>0</v>
          </cell>
        </row>
        <row r="29">
          <cell r="O29">
            <v>316970669.89848</v>
          </cell>
        </row>
        <row r="30">
          <cell r="J30">
            <v>0</v>
          </cell>
        </row>
        <row r="30">
          <cell r="O30">
            <v>323050500.121782</v>
          </cell>
        </row>
        <row r="31">
          <cell r="J31">
            <v>0</v>
          </cell>
        </row>
        <row r="31">
          <cell r="O31">
            <v>311004108.489646</v>
          </cell>
        </row>
        <row r="32">
          <cell r="J32">
            <v>0</v>
          </cell>
        </row>
        <row r="32">
          <cell r="O32">
            <v>297957102.984508</v>
          </cell>
        </row>
        <row r="33">
          <cell r="J33">
            <v>0</v>
          </cell>
        </row>
        <row r="33">
          <cell r="O33">
            <v>231009909.196247</v>
          </cell>
        </row>
        <row r="34">
          <cell r="J34">
            <v>0</v>
          </cell>
        </row>
        <row r="34">
          <cell r="O34">
            <v>269052423.358456</v>
          </cell>
        </row>
        <row r="35">
          <cell r="J35">
            <v>0</v>
          </cell>
        </row>
        <row r="35">
          <cell r="O35">
            <v>259457502.14969</v>
          </cell>
        </row>
        <row r="36">
          <cell r="J36">
            <v>0</v>
          </cell>
        </row>
        <row r="36">
          <cell r="O36">
            <v>246566343.080824</v>
          </cell>
        </row>
        <row r="37">
          <cell r="J37">
            <v>0</v>
          </cell>
        </row>
        <row r="37">
          <cell r="O37">
            <v>233899961.714034</v>
          </cell>
        </row>
        <row r="38">
          <cell r="J38">
            <v>0</v>
          </cell>
        </row>
        <row r="38">
          <cell r="O38">
            <v>193475986.107117</v>
          </cell>
        </row>
        <row r="39">
          <cell r="J39">
            <v>0</v>
          </cell>
        </row>
        <row r="39">
          <cell r="O39">
            <v>202840421.192616</v>
          </cell>
        </row>
        <row r="40">
          <cell r="J40">
            <v>0</v>
          </cell>
        </row>
        <row r="40">
          <cell r="O40">
            <v>197679614.163336</v>
          </cell>
        </row>
        <row r="41">
          <cell r="J41">
            <v>0</v>
          </cell>
        </row>
        <row r="41">
          <cell r="O41">
            <v>186702366.865027</v>
          </cell>
        </row>
        <row r="42">
          <cell r="J42">
            <v>0</v>
          </cell>
        </row>
        <row r="42">
          <cell r="O42">
            <v>174539082.471704</v>
          </cell>
        </row>
        <row r="43">
          <cell r="J43">
            <v>0</v>
          </cell>
        </row>
        <row r="43">
          <cell r="O43">
            <v>165696064.626175</v>
          </cell>
        </row>
        <row r="44">
          <cell r="J44">
            <v>0</v>
          </cell>
        </row>
        <row r="44">
          <cell r="O44">
            <v>155762858.571028</v>
          </cell>
        </row>
        <row r="45">
          <cell r="J45">
            <v>0</v>
          </cell>
        </row>
        <row r="45">
          <cell r="O45">
            <v>146598736.910177</v>
          </cell>
        </row>
        <row r="46">
          <cell r="J46">
            <v>0</v>
          </cell>
        </row>
        <row r="46">
          <cell r="O46">
            <v>126436371.382939</v>
          </cell>
        </row>
        <row r="47">
          <cell r="J47">
            <v>0</v>
          </cell>
        </row>
        <row r="47">
          <cell r="O47">
            <v>129373200.405732</v>
          </cell>
        </row>
        <row r="48">
          <cell r="J48">
            <v>0</v>
          </cell>
        </row>
        <row r="48">
          <cell r="O48">
            <v>121336202.183262</v>
          </cell>
        </row>
        <row r="49">
          <cell r="J49">
            <v>0</v>
          </cell>
        </row>
        <row r="49">
          <cell r="O49">
            <v>111358922.733941</v>
          </cell>
        </row>
        <row r="50">
          <cell r="J50">
            <v>0</v>
          </cell>
        </row>
        <row r="50">
          <cell r="O50">
            <v>106182195.380319</v>
          </cell>
        </row>
        <row r="51">
          <cell r="J51">
            <v>0</v>
          </cell>
        </row>
        <row r="51">
          <cell r="O51">
            <v>100159093.417922</v>
          </cell>
        </row>
        <row r="52">
          <cell r="J52">
            <v>0</v>
          </cell>
        </row>
        <row r="52">
          <cell r="O52">
            <v>93856961.8881761</v>
          </cell>
        </row>
        <row r="53">
          <cell r="J53">
            <v>0</v>
          </cell>
        </row>
        <row r="53">
          <cell r="O53">
            <v>87921780.8160713</v>
          </cell>
        </row>
        <row r="54">
          <cell r="J54">
            <v>0</v>
          </cell>
        </row>
        <row r="54">
          <cell r="O54">
            <v>82279792.0270734</v>
          </cell>
        </row>
        <row r="55">
          <cell r="J55">
            <v>0</v>
          </cell>
        </row>
        <row r="55">
          <cell r="O55">
            <v>77083804.1791905</v>
          </cell>
        </row>
        <row r="56">
          <cell r="J56">
            <v>0</v>
          </cell>
        </row>
        <row r="56">
          <cell r="O56">
            <v>68300159.0770437</v>
          </cell>
        </row>
        <row r="57">
          <cell r="J57">
            <v>0</v>
          </cell>
        </row>
        <row r="57">
          <cell r="O57">
            <v>67510256.1451233</v>
          </cell>
        </row>
      </sheetData>
      <sheetData sheetId="17"/>
      <sheetData sheetId="18"/>
      <sheetData sheetId="19"/>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Datos Duros"/>
      <sheetName val="Demanda"/>
      <sheetName val="Población"/>
      <sheetName val="Cant_Comp_RS"/>
      <sheetName val="Parametros"/>
      <sheetName val="Situación Actual"/>
      <sheetName val="Vida Útil del NRS"/>
      <sheetName val="Costos de Op y Mant"/>
      <sheetName val="Sit. Sin Proy"/>
      <sheetName val="CAE_Alt_Proy"/>
      <sheetName val="CAE_Alt_2"/>
      <sheetName val="Calendario de Actividades"/>
      <sheetName val="Monto de Inversión"/>
      <sheetName val="Costos de Op y Mant_Alt 2"/>
      <sheetName val="Sit. Con Proy"/>
      <sheetName val="Analisis de Sensibilidad"/>
      <sheetName val="Tablas de Documento"/>
    </sheetNames>
    <sheetDataSet>
      <sheetData sheetId="0"/>
      <sheetData sheetId="1"/>
      <sheetData sheetId="2"/>
      <sheetData sheetId="3">
        <row r="301">
          <cell r="C301">
            <v>0.838124638863165</v>
          </cell>
        </row>
      </sheetData>
      <sheetData sheetId="4">
        <row r="11">
          <cell r="C11">
            <v>1.899</v>
          </cell>
        </row>
        <row r="12">
          <cell r="C12">
            <v>0.35</v>
          </cell>
        </row>
      </sheetData>
      <sheetData sheetId="5"/>
      <sheetData sheetId="6"/>
      <sheetData sheetId="7"/>
      <sheetData sheetId="8"/>
      <sheetData sheetId="9"/>
      <sheetData sheetId="10"/>
      <sheetData sheetId="11"/>
      <sheetData sheetId="12">
        <row r="93">
          <cell r="E93">
            <v>524122878</v>
          </cell>
        </row>
        <row r="94">
          <cell r="E94">
            <v>1750000</v>
          </cell>
        </row>
      </sheetData>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app.cfe.mx/Aplicaciones/CCFE/Tarifas/TarifasCRENegocio/Tarifas/GranDemandaMTH.aspx" TargetMode="Externa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L274"/>
  <sheetViews>
    <sheetView tabSelected="1" zoomScale="85" zoomScaleNormal="85" workbookViewId="0">
      <selection activeCell="B229" sqref="B229"/>
    </sheetView>
  </sheetViews>
  <sheetFormatPr defaultColWidth="11.8857142857143" defaultRowHeight="14.25"/>
  <cols>
    <col min="1" max="1" width="3.55238095238095" style="1029" customWidth="1"/>
    <col min="2" max="2" width="30.3333333333333" style="1029" customWidth="1"/>
    <col min="3" max="3" width="17.4380952380952" style="588" customWidth="1"/>
    <col min="4" max="4" width="21.3333333333333" style="588" customWidth="1"/>
    <col min="5" max="5" width="14.8857142857143" style="588" customWidth="1"/>
    <col min="6" max="8" width="18.3333333333333" style="588" customWidth="1"/>
    <col min="9" max="9" width="19.6666666666667" style="588" customWidth="1"/>
    <col min="10" max="10" width="25" style="588" customWidth="1"/>
    <col min="11" max="11" width="16.4380952380952" style="1029" customWidth="1"/>
    <col min="12" max="12" width="18.8857142857143" style="1029" customWidth="1"/>
    <col min="13" max="16" width="17.552380952381" style="1029" customWidth="1"/>
    <col min="17" max="23" width="14.552380952381" style="1029" customWidth="1"/>
    <col min="24" max="16384" width="11.8857142857143" style="1029"/>
  </cols>
  <sheetData>
    <row r="1" s="588" customFormat="1" ht="15" spans="3:9">
      <c r="C1" s="1030"/>
      <c r="D1" s="1030"/>
      <c r="E1" s="1030"/>
      <c r="F1" s="1030"/>
      <c r="G1" s="1030"/>
      <c r="H1" s="1030"/>
      <c r="I1" s="1079"/>
    </row>
    <row r="2" s="588" customFormat="1" ht="20.25" spans="2:12">
      <c r="B2" s="1031" t="s">
        <v>0</v>
      </c>
      <c r="C2" s="1031"/>
      <c r="D2" s="1031"/>
      <c r="E2" s="1031"/>
      <c r="F2" s="1031"/>
      <c r="G2" s="1031"/>
      <c r="H2" s="1031"/>
      <c r="I2" s="1031"/>
      <c r="J2" s="1031"/>
      <c r="K2" s="1031"/>
      <c r="L2" s="1031"/>
    </row>
    <row r="3" s="588" customFormat="1" ht="12" customHeight="1" spans="2:12">
      <c r="B3" s="1032"/>
      <c r="C3" s="1032"/>
      <c r="D3" s="1032"/>
      <c r="E3" s="1032"/>
      <c r="F3" s="1032"/>
      <c r="G3" s="1032"/>
      <c r="H3" s="1032"/>
      <c r="I3" s="1032"/>
      <c r="J3" s="1032"/>
      <c r="K3" s="1032"/>
      <c r="L3" s="1032"/>
    </row>
    <row r="4" s="1023" customFormat="1" ht="15" spans="2:12">
      <c r="B4" s="1033" t="s">
        <v>1</v>
      </c>
      <c r="C4" s="1033"/>
      <c r="D4" s="1033"/>
      <c r="E4" s="1033"/>
      <c r="F4" s="1033"/>
      <c r="G4" s="1033"/>
      <c r="H4" s="1033"/>
      <c r="I4" s="1033"/>
      <c r="J4" s="1033"/>
      <c r="K4" s="1033"/>
      <c r="L4" s="1033"/>
    </row>
    <row r="5" s="1024" customFormat="1" ht="15" spans="4:10">
      <c r="D5" s="1034"/>
      <c r="E5" s="1034"/>
      <c r="F5" s="1034"/>
      <c r="G5" s="1034"/>
      <c r="H5" s="1035"/>
      <c r="I5" s="1080"/>
      <c r="J5"/>
    </row>
    <row r="6" s="1025" customFormat="1" ht="15" spans="2:10">
      <c r="B6" s="183" t="s">
        <v>2</v>
      </c>
      <c r="C6" s="183"/>
      <c r="D6"/>
      <c r="E6"/>
      <c r="F6"/>
      <c r="G6"/>
      <c r="H6"/>
      <c r="I6"/>
      <c r="J6"/>
    </row>
    <row r="7" s="1025" customFormat="1" ht="15" spans="2:9">
      <c r="B7" s="1036" t="s">
        <v>3</v>
      </c>
      <c r="C7" s="189">
        <v>365</v>
      </c>
      <c r="D7"/>
      <c r="E7" s="1037"/>
      <c r="F7"/>
      <c r="G7"/>
      <c r="H7"/>
      <c r="I7"/>
    </row>
    <row r="8" s="1025" customFormat="1" ht="15" spans="2:12">
      <c r="B8" s="1036" t="s">
        <v>4</v>
      </c>
      <c r="C8" s="1038">
        <f>+C7/7</f>
        <v>52.1428571428571</v>
      </c>
      <c r="D8"/>
      <c r="E8" s="1037"/>
      <c r="F8"/>
      <c r="G8"/>
      <c r="H8"/>
      <c r="I8"/>
      <c r="L8" s="1081"/>
    </row>
    <row r="9" s="1025" customFormat="1" ht="15" spans="2:9">
      <c r="B9" s="1036" t="s">
        <v>5</v>
      </c>
      <c r="C9" s="1039">
        <v>0.1</v>
      </c>
      <c r="D9"/>
      <c r="E9" s="1040"/>
      <c r="F9"/>
      <c r="G9"/>
      <c r="H9"/>
      <c r="I9"/>
    </row>
    <row r="10" s="1025" customFormat="1" ht="15" spans="2:9">
      <c r="B10" s="1036" t="s">
        <v>6</v>
      </c>
      <c r="C10" s="1041">
        <v>2024</v>
      </c>
      <c r="D10"/>
      <c r="E10" s="1040"/>
      <c r="F10"/>
      <c r="G10"/>
      <c r="H10"/>
      <c r="I10"/>
    </row>
    <row r="11" s="1025" customFormat="1" ht="15" spans="2:9">
      <c r="B11" s="1036" t="s">
        <v>7</v>
      </c>
      <c r="C11" s="189">
        <v>40</v>
      </c>
      <c r="D11"/>
      <c r="E11" s="1040"/>
      <c r="F11"/>
      <c r="G11"/>
      <c r="H11"/>
      <c r="I11"/>
    </row>
    <row r="12" s="1025" customFormat="1" ht="15" spans="2:9">
      <c r="B12" t="s">
        <v>8</v>
      </c>
      <c r="C12"/>
      <c r="D12"/>
      <c r="E12" s="1040"/>
      <c r="F12"/>
      <c r="G12"/>
      <c r="H12"/>
      <c r="I12"/>
    </row>
    <row r="13" customFormat="1" ht="15"/>
    <row r="14" s="1025" customFormat="1" ht="15" spans="2:10">
      <c r="B14" s="183" t="s">
        <v>9</v>
      </c>
      <c r="C14" s="1042"/>
      <c r="D14" s="1035"/>
      <c r="E14" s="1035"/>
      <c r="F14" s="1035"/>
      <c r="G14" s="1035"/>
      <c r="H14"/>
      <c r="I14"/>
      <c r="J14"/>
    </row>
    <row r="15" s="1025" customFormat="1" ht="15" spans="2:10">
      <c r="B15" s="806" t="s">
        <v>10</v>
      </c>
      <c r="C15" s="806" t="s">
        <v>11</v>
      </c>
      <c r="D15" s="1043" t="s">
        <v>12</v>
      </c>
      <c r="E15" s="1035"/>
      <c r="F15" s="1035"/>
      <c r="G15" s="1035"/>
      <c r="H15"/>
      <c r="I15"/>
      <c r="J15"/>
    </row>
    <row r="16" s="1025" customFormat="1" ht="15" spans="2:10">
      <c r="B16" s="1044" t="s">
        <v>13</v>
      </c>
      <c r="C16" s="781" t="s">
        <v>14</v>
      </c>
      <c r="D16" s="1045">
        <v>1</v>
      </c>
      <c r="E16" s="1035"/>
      <c r="F16" s="1035"/>
      <c r="G16" s="1035"/>
      <c r="H16"/>
      <c r="I16"/>
      <c r="J16"/>
    </row>
    <row r="17" s="1025" customFormat="1" ht="15" spans="2:10">
      <c r="B17" s="1044" t="s">
        <v>15</v>
      </c>
      <c r="C17" s="781" t="s">
        <v>16</v>
      </c>
      <c r="D17" s="1045">
        <v>8</v>
      </c>
      <c r="E17" s="1035"/>
      <c r="F17" s="1035"/>
      <c r="G17" s="1035"/>
      <c r="H17"/>
      <c r="I17"/>
      <c r="J17"/>
    </row>
    <row r="18" s="1025" customFormat="1" ht="15" spans="2:10">
      <c r="B18" s="1044" t="s">
        <v>17</v>
      </c>
      <c r="C18" s="781" t="s">
        <v>14</v>
      </c>
      <c r="D18" s="1045">
        <v>2</v>
      </c>
      <c r="E18" s="1035"/>
      <c r="F18" s="1035"/>
      <c r="G18" s="1035"/>
      <c r="H18"/>
      <c r="I18"/>
      <c r="J18"/>
    </row>
    <row r="19" s="1025" customFormat="1" ht="15" spans="2:10">
      <c r="B19" s="1044" t="s">
        <v>18</v>
      </c>
      <c r="C19" s="781" t="s">
        <v>16</v>
      </c>
      <c r="D19" s="1045">
        <v>8</v>
      </c>
      <c r="E19" s="1035"/>
      <c r="F19" s="1035"/>
      <c r="G19" s="1035"/>
      <c r="H19"/>
      <c r="I19"/>
      <c r="J19"/>
    </row>
    <row r="20" s="1025" customFormat="1" ht="15" spans="2:10">
      <c r="B20" s="1044" t="s">
        <v>19</v>
      </c>
      <c r="C20" s="781" t="s">
        <v>20</v>
      </c>
      <c r="D20" s="1045">
        <v>6</v>
      </c>
      <c r="E20" s="1035"/>
      <c r="F20" s="1035"/>
      <c r="G20" s="1035"/>
      <c r="H20"/>
      <c r="I20"/>
      <c r="J20"/>
    </row>
    <row r="21" s="1025" customFormat="1" ht="15" spans="2:10">
      <c r="B21" s="1044" t="s">
        <v>21</v>
      </c>
      <c r="C21" s="781" t="s">
        <v>22</v>
      </c>
      <c r="D21" s="1046">
        <f>+D16*D17*D20</f>
        <v>48</v>
      </c>
      <c r="E21" s="1035"/>
      <c r="F21" s="1035"/>
      <c r="G21" s="1035"/>
      <c r="H21"/>
      <c r="I21"/>
      <c r="J21"/>
    </row>
    <row r="22" s="1025" customFormat="1" ht="15" spans="2:10">
      <c r="B22" s="1044" t="s">
        <v>23</v>
      </c>
      <c r="C22" s="781" t="s">
        <v>22</v>
      </c>
      <c r="D22" s="1046">
        <f>+D18*D19*D20</f>
        <v>96</v>
      </c>
      <c r="E22" s="1035"/>
      <c r="F22" s="1035"/>
      <c r="G22" s="1035"/>
      <c r="H22"/>
      <c r="I22"/>
      <c r="J22"/>
    </row>
    <row r="23" s="1025" customFormat="1" ht="30" spans="2:10">
      <c r="B23" s="1044" t="s">
        <v>24</v>
      </c>
      <c r="C23" s="781" t="s">
        <v>25</v>
      </c>
      <c r="D23" s="1045">
        <v>140</v>
      </c>
      <c r="E23" s="1035"/>
      <c r="F23" s="1035"/>
      <c r="G23" s="1035"/>
      <c r="H23"/>
      <c r="I23"/>
      <c r="J23"/>
    </row>
    <row r="24" s="1025" customFormat="1" ht="15" spans="2:10">
      <c r="B24" s="1044" t="s">
        <v>26</v>
      </c>
      <c r="C24" s="781" t="s">
        <v>27</v>
      </c>
      <c r="D24" s="1045">
        <v>23.72</v>
      </c>
      <c r="E24" t="s">
        <v>28</v>
      </c>
      <c r="F24" s="1035"/>
      <c r="G24" s="1035"/>
      <c r="H24"/>
      <c r="I24"/>
      <c r="J24"/>
    </row>
    <row r="25" s="1025" customFormat="1" ht="15" spans="2:10">
      <c r="B25" s="1044" t="s">
        <v>29</v>
      </c>
      <c r="C25" s="781" t="s">
        <v>27</v>
      </c>
      <c r="D25" s="1045">
        <v>22.34</v>
      </c>
      <c r="E25" t="s">
        <v>28</v>
      </c>
      <c r="F25" s="1035"/>
      <c r="G25" s="1035"/>
      <c r="H25"/>
      <c r="I25"/>
      <c r="J25"/>
    </row>
    <row r="26" s="1025" customFormat="1" ht="32.4" customHeight="1" spans="2:11">
      <c r="B26" s="1044" t="s">
        <v>30</v>
      </c>
      <c r="C26" s="781" t="s">
        <v>31</v>
      </c>
      <c r="D26" s="1047">
        <v>0.2</v>
      </c>
      <c r="E26" s="1048" t="s">
        <v>32</v>
      </c>
      <c r="F26" s="1049" t="s">
        <v>33</v>
      </c>
      <c r="G26" s="1050"/>
      <c r="H26" s="183"/>
      <c r="I26" s="183"/>
      <c r="J26" s="183"/>
      <c r="K26" s="183"/>
    </row>
    <row r="27" s="1025" customFormat="1" ht="32.4" customHeight="1" spans="2:11">
      <c r="B27" s="1044" t="s">
        <v>34</v>
      </c>
      <c r="C27" s="781" t="s">
        <v>35</v>
      </c>
      <c r="D27" s="1051">
        <v>1.0362</v>
      </c>
      <c r="E27" s="1048" t="s">
        <v>32</v>
      </c>
      <c r="F27" s="1049" t="s">
        <v>36</v>
      </c>
      <c r="G27" s="1050"/>
      <c r="H27" s="1052" t="s">
        <v>37</v>
      </c>
      <c r="I27" s="183"/>
      <c r="J27" s="183"/>
      <c r="K27" s="183"/>
    </row>
    <row r="28" s="1025" customFormat="1" ht="32.4" customHeight="1" spans="2:11">
      <c r="B28" s="1044" t="s">
        <v>38</v>
      </c>
      <c r="C28" s="781" t="s">
        <v>35</v>
      </c>
      <c r="D28" s="1051">
        <v>1.6532</v>
      </c>
      <c r="E28" s="1048" t="s">
        <v>32</v>
      </c>
      <c r="F28" s="1049" t="s">
        <v>36</v>
      </c>
      <c r="G28" s="1050"/>
      <c r="H28" s="1052" t="s">
        <v>37</v>
      </c>
      <c r="I28" s="183"/>
      <c r="J28" s="183"/>
      <c r="K28" s="183"/>
    </row>
    <row r="29" s="1025" customFormat="1" ht="32.4" customHeight="1" spans="2:11">
      <c r="B29" s="1044" t="s">
        <v>39</v>
      </c>
      <c r="C29" s="781" t="s">
        <v>35</v>
      </c>
      <c r="D29" s="1051">
        <v>1.9362</v>
      </c>
      <c r="E29" s="1048" t="s">
        <v>32</v>
      </c>
      <c r="F29" s="1049" t="s">
        <v>36</v>
      </c>
      <c r="G29" s="1050"/>
      <c r="H29" s="1052" t="s">
        <v>37</v>
      </c>
      <c r="I29" s="183"/>
      <c r="J29" s="183"/>
      <c r="K29" s="183"/>
    </row>
    <row r="30" s="1025" customFormat="1" ht="44.4" customHeight="1" spans="2:11">
      <c r="B30" s="1044" t="s">
        <v>40</v>
      </c>
      <c r="C30" s="781" t="s">
        <v>35</v>
      </c>
      <c r="D30" s="1051">
        <f>(C57*C45+J54*C54)/12</f>
        <v>1.66896316550926</v>
      </c>
      <c r="E30" s="1048" t="s">
        <v>32</v>
      </c>
      <c r="F30" s="1053" t="s">
        <v>41</v>
      </c>
      <c r="G30" s="183"/>
      <c r="H30" s="183"/>
      <c r="I30" s="183"/>
      <c r="J30" s="183"/>
      <c r="K30" s="183"/>
    </row>
    <row r="31" s="1025" customFormat="1" ht="44.4" customHeight="1" spans="2:11">
      <c r="B31" s="1044" t="s">
        <v>42</v>
      </c>
      <c r="C31" s="781" t="s">
        <v>35</v>
      </c>
      <c r="D31" s="1051">
        <f>+(C45*J46+C54*J55)/12</f>
        <v>1.68022256944444</v>
      </c>
      <c r="E31" s="1048" t="s">
        <v>32</v>
      </c>
      <c r="F31" s="1053" t="s">
        <v>41</v>
      </c>
      <c r="G31" s="183"/>
      <c r="H31" s="183"/>
      <c r="I31" s="183"/>
      <c r="J31" s="183"/>
      <c r="K31" s="183"/>
    </row>
    <row r="32" s="1025" customFormat="1" ht="32.4" customHeight="1" spans="2:11">
      <c r="B32" s="1044" t="s">
        <v>43</v>
      </c>
      <c r="C32" s="781" t="s">
        <v>44</v>
      </c>
      <c r="D32" s="1045">
        <v>75.79</v>
      </c>
      <c r="E32" s="1048" t="s">
        <v>32</v>
      </c>
      <c r="F32" s="1049" t="s">
        <v>36</v>
      </c>
      <c r="G32" s="1050"/>
      <c r="H32" s="1052" t="s">
        <v>37</v>
      </c>
      <c r="I32" s="183"/>
      <c r="J32" s="183"/>
      <c r="K32" s="183"/>
    </row>
    <row r="33" s="1025" customFormat="1" ht="32.4" customHeight="1" spans="2:11">
      <c r="B33" s="1044" t="s">
        <v>45</v>
      </c>
      <c r="C33" s="781" t="s">
        <v>44</v>
      </c>
      <c r="D33" s="1045">
        <v>410.85</v>
      </c>
      <c r="E33" s="1048" t="s">
        <v>32</v>
      </c>
      <c r="F33" s="1049" t="s">
        <v>36</v>
      </c>
      <c r="G33" s="1050"/>
      <c r="H33" s="1052" t="s">
        <v>37</v>
      </c>
      <c r="I33" s="183"/>
      <c r="J33" s="183"/>
      <c r="K33" s="183"/>
    </row>
    <row r="34" s="1025" customFormat="1" ht="30" spans="2:11">
      <c r="B34" s="1044" t="s">
        <v>46</v>
      </c>
      <c r="C34" s="781" t="s">
        <v>47</v>
      </c>
      <c r="D34" s="1047">
        <f>+E72+G61</f>
        <v>0.442487674727286</v>
      </c>
      <c r="E34" s="1048" t="s">
        <v>32</v>
      </c>
      <c r="F34" s="1049" t="s">
        <v>48</v>
      </c>
      <c r="G34" s="1050"/>
      <c r="H34" s="183"/>
      <c r="I34" s="183"/>
      <c r="J34" s="183"/>
      <c r="K34" s="183"/>
    </row>
    <row r="35" s="1025" customFormat="1" ht="15" spans="2:10">
      <c r="B35" s="183" t="s">
        <v>8</v>
      </c>
      <c r="C35" s="1035"/>
      <c r="D35" s="1035"/>
      <c r="E35" s="1035"/>
      <c r="F35" s="1035"/>
      <c r="G35" s="1035"/>
      <c r="H35"/>
      <c r="I35"/>
      <c r="J35"/>
    </row>
    <row r="36" s="1025" customFormat="1" ht="15" spans="2:10">
      <c r="B36" s="183"/>
      <c r="C36" s="1035"/>
      <c r="D36" s="1035"/>
      <c r="E36" s="1035"/>
      <c r="F36" s="1035"/>
      <c r="G36" s="1035"/>
      <c r="H36"/>
      <c r="I36"/>
      <c r="J36"/>
    </row>
    <row r="37" s="1025" customFormat="1" ht="45" customHeight="1" spans="2:10">
      <c r="B37" s="1003" t="s">
        <v>49</v>
      </c>
      <c r="C37" s="183"/>
      <c r="D37" s="183"/>
      <c r="E37" s="183"/>
      <c r="F37" s="1042" t="s">
        <v>50</v>
      </c>
      <c r="G37" s="183"/>
      <c r="H37" s="183"/>
      <c r="I37"/>
      <c r="J37"/>
    </row>
    <row r="38" s="1026" customFormat="1" ht="12.75" spans="3:10">
      <c r="C38" s="537"/>
      <c r="D38" s="537"/>
      <c r="E38" s="537"/>
      <c r="F38" s="1054" t="s">
        <v>51</v>
      </c>
      <c r="G38" s="1054" t="s">
        <v>52</v>
      </c>
      <c r="H38" s="1054" t="s">
        <v>53</v>
      </c>
      <c r="I38" s="1054" t="s">
        <v>54</v>
      </c>
      <c r="J38" s="537"/>
    </row>
    <row r="39" s="1025" customFormat="1" ht="17.4" customHeight="1" spans="2:10">
      <c r="B39" s="1003" t="s">
        <v>55</v>
      </c>
      <c r="C39" s="183"/>
      <c r="D39" s="183"/>
      <c r="E39" s="183"/>
      <c r="F39" s="1035"/>
      <c r="G39" s="1035"/>
      <c r="H39"/>
      <c r="I39"/>
      <c r="J39"/>
    </row>
    <row r="40" s="1025" customFormat="1" ht="15" spans="2:10">
      <c r="B40" s="183" t="s">
        <v>56</v>
      </c>
      <c r="C40" s="1035"/>
      <c r="D40" s="1035"/>
      <c r="E40" s="1035"/>
      <c r="F40" s="1055" t="s">
        <v>57</v>
      </c>
      <c r="G40" s="1055" t="s">
        <v>58</v>
      </c>
      <c r="H40" s="1055" t="s">
        <v>59</v>
      </c>
      <c r="I40"/>
      <c r="J40"/>
    </row>
    <row r="41" s="1025" customFormat="1" ht="15" spans="3:10">
      <c r="C41" s="1035"/>
      <c r="D41" s="1035"/>
      <c r="E41" s="1035"/>
      <c r="F41" s="1056"/>
      <c r="G41" s="1056" t="s">
        <v>60</v>
      </c>
      <c r="H41" s="1057"/>
      <c r="I41"/>
      <c r="J41"/>
    </row>
    <row r="42" s="1025" customFormat="1" ht="15" spans="2:10">
      <c r="B42" s="183" t="s">
        <v>61</v>
      </c>
      <c r="C42" s="1035"/>
      <c r="D42" s="1035"/>
      <c r="E42" s="1035"/>
      <c r="F42" s="1058" t="s">
        <v>62</v>
      </c>
      <c r="G42" s="1059" t="s">
        <v>63</v>
      </c>
      <c r="H42" s="209"/>
      <c r="I42"/>
      <c r="J42"/>
    </row>
    <row r="43" s="1025" customFormat="1" ht="15" spans="2:10">
      <c r="B43" s="183" t="s">
        <v>64</v>
      </c>
      <c r="C43" s="1035"/>
      <c r="D43" s="1035"/>
      <c r="E43" s="1035"/>
      <c r="F43" s="1058" t="s">
        <v>65</v>
      </c>
      <c r="G43" s="1059" t="s">
        <v>66</v>
      </c>
      <c r="H43" s="209"/>
      <c r="I43"/>
      <c r="J43"/>
    </row>
    <row r="44" s="1025" customFormat="1" ht="15" spans="2:10">
      <c r="B44" s="183"/>
      <c r="C44" s="1035"/>
      <c r="D44" s="1035"/>
      <c r="E44" s="1035" t="s">
        <v>67</v>
      </c>
      <c r="F44" s="1060">
        <f>+D27</f>
        <v>1.0362</v>
      </c>
      <c r="G44" s="1060">
        <f>+D28</f>
        <v>1.6532</v>
      </c>
      <c r="H44" s="1060">
        <f>+D29</f>
        <v>1.9362</v>
      </c>
      <c r="J44"/>
    </row>
    <row r="45" s="1025" customFormat="1" ht="15" spans="2:11">
      <c r="B45" s="183" t="s">
        <v>68</v>
      </c>
      <c r="C45" s="1035">
        <v>7</v>
      </c>
      <c r="D45" s="1061" t="s">
        <v>69</v>
      </c>
      <c r="E45" s="1062" t="s">
        <v>70</v>
      </c>
      <c r="F45" s="1063">
        <v>0</v>
      </c>
      <c r="G45" s="1063">
        <f>8*6</f>
        <v>48</v>
      </c>
      <c r="H45" s="1063">
        <v>0</v>
      </c>
      <c r="I45" s="1082">
        <f>+SUM(F45:H45)</f>
        <v>48</v>
      </c>
      <c r="J45" s="1083">
        <f>+(F45*F44+G44*G45+H44*H45)/I45</f>
        <v>1.6532</v>
      </c>
      <c r="K45" s="195" t="s">
        <v>71</v>
      </c>
    </row>
    <row r="46" s="1025" customFormat="1" ht="15" spans="2:11">
      <c r="B46" s="183"/>
      <c r="C46" s="1035"/>
      <c r="D46" s="1061" t="s">
        <v>72</v>
      </c>
      <c r="E46" s="1062" t="s">
        <v>70</v>
      </c>
      <c r="F46" s="1063">
        <v>0</v>
      </c>
      <c r="G46" s="1063">
        <f>16*6</f>
        <v>96</v>
      </c>
      <c r="H46" s="1063">
        <v>0</v>
      </c>
      <c r="I46" s="1082">
        <f>+SUM(F46:H46)</f>
        <v>96</v>
      </c>
      <c r="J46" s="1083">
        <f>+(F44*F46+G44*G46+H44*H46)/I46</f>
        <v>1.6532</v>
      </c>
      <c r="K46" s="195" t="s">
        <v>73</v>
      </c>
    </row>
    <row r="47" s="1025" customFormat="1" ht="15" spans="2:11">
      <c r="B47" s="1003" t="s">
        <v>74</v>
      </c>
      <c r="C47" s="1035"/>
      <c r="D47" s="1035"/>
      <c r="E47" s="1035"/>
      <c r="F47"/>
      <c r="G47"/>
      <c r="H47"/>
      <c r="I47"/>
      <c r="K47"/>
    </row>
    <row r="48" s="1025" customFormat="1" ht="15" spans="2:11">
      <c r="B48" s="183" t="s">
        <v>75</v>
      </c>
      <c r="F48" s="1055" t="s">
        <v>57</v>
      </c>
      <c r="G48" s="1055" t="s">
        <v>76</v>
      </c>
      <c r="H48" s="1055" t="s">
        <v>77</v>
      </c>
      <c r="J48"/>
      <c r="K48"/>
    </row>
    <row r="49" s="1025" customFormat="1" ht="15.75" spans="6:11">
      <c r="F49" s="1064"/>
      <c r="G49" s="1056" t="s">
        <v>60</v>
      </c>
      <c r="H49" s="1064"/>
      <c r="J49"/>
      <c r="K49"/>
    </row>
    <row r="50" s="1025" customFormat="1" ht="15" spans="2:11">
      <c r="B50" s="183" t="s">
        <v>78</v>
      </c>
      <c r="F50" s="1065" t="s">
        <v>79</v>
      </c>
      <c r="G50" s="1065" t="s">
        <v>80</v>
      </c>
      <c r="H50" s="1065" t="s">
        <v>81</v>
      </c>
      <c r="J50"/>
      <c r="K50"/>
    </row>
    <row r="51" s="1025" customFormat="1" ht="15.75" spans="2:11">
      <c r="B51" s="183"/>
      <c r="F51" s="1064"/>
      <c r="G51" s="1056" t="s">
        <v>82</v>
      </c>
      <c r="H51" s="1064"/>
      <c r="J51"/>
      <c r="K51"/>
    </row>
    <row r="52" s="1025" customFormat="1" ht="15" spans="2:11">
      <c r="B52" s="183" t="s">
        <v>83</v>
      </c>
      <c r="F52" s="1066" t="s">
        <v>84</v>
      </c>
      <c r="G52" s="1066" t="s">
        <v>85</v>
      </c>
      <c r="H52" s="1066"/>
      <c r="J52"/>
      <c r="K52"/>
    </row>
    <row r="53" s="1025" customFormat="1" ht="15" spans="2:11">
      <c r="B53" s="183"/>
      <c r="C53" s="1035"/>
      <c r="D53" s="1035"/>
      <c r="E53" s="1035" t="s">
        <v>67</v>
      </c>
      <c r="F53" s="1060">
        <f>+F44</f>
        <v>1.0362</v>
      </c>
      <c r="G53" s="1060">
        <f>+G44</f>
        <v>1.6532</v>
      </c>
      <c r="H53" s="1060">
        <f>+H44</f>
        <v>1.9362</v>
      </c>
      <c r="K53"/>
    </row>
    <row r="54" s="1025" customFormat="1" ht="15" spans="2:11">
      <c r="B54" s="183" t="s">
        <v>68</v>
      </c>
      <c r="C54" s="1035">
        <v>5</v>
      </c>
      <c r="D54" s="1061" t="s">
        <v>69</v>
      </c>
      <c r="E54" s="1062" t="s">
        <v>70</v>
      </c>
      <c r="F54" s="1063">
        <v>0</v>
      </c>
      <c r="G54" s="1063">
        <v>48</v>
      </c>
      <c r="H54" s="1063">
        <v>0</v>
      </c>
      <c r="I54" s="1082">
        <f>+SUM(F54:H54)</f>
        <v>48</v>
      </c>
      <c r="J54" s="1083">
        <f>+(F54*F53+G53*G54+H53*H54)/I54</f>
        <v>1.6532</v>
      </c>
      <c r="K54" s="195" t="s">
        <v>71</v>
      </c>
    </row>
    <row r="55" s="1025" customFormat="1" ht="15" spans="2:11">
      <c r="B55" s="183"/>
      <c r="C55" s="1035"/>
      <c r="D55" s="1061" t="s">
        <v>72</v>
      </c>
      <c r="E55" s="1062" t="s">
        <v>70</v>
      </c>
      <c r="F55" s="1063">
        <v>0</v>
      </c>
      <c r="G55" s="1063">
        <f>96-H55</f>
        <v>74</v>
      </c>
      <c r="H55" s="1063">
        <f>5*4+2</f>
        <v>22</v>
      </c>
      <c r="I55" s="1082">
        <f>+SUM(F55:H55)</f>
        <v>96</v>
      </c>
      <c r="J55" s="1083">
        <f>+(F53*F55+G53*G55+H53*H55)/I55</f>
        <v>1.71805416666667</v>
      </c>
      <c r="K55" s="195" t="s">
        <v>73</v>
      </c>
    </row>
    <row r="56" ht="20.25" spans="2:9">
      <c r="B56" s="1067" t="s">
        <v>86</v>
      </c>
      <c r="I56" t="s">
        <v>87</v>
      </c>
    </row>
    <row r="57" s="1027" customFormat="1" ht="22.2" customHeight="1" spans="2:3">
      <c r="B57" s="1068" t="s">
        <v>88</v>
      </c>
      <c r="C57" s="1069">
        <f>+D31</f>
        <v>1.68022256944444</v>
      </c>
    </row>
    <row r="58" s="1027" customFormat="1" spans="2:2">
      <c r="B58" s="1028"/>
    </row>
    <row r="59" s="1027" customFormat="1" spans="2:4">
      <c r="B59" s="1068" t="s">
        <v>89</v>
      </c>
      <c r="C59" s="1070">
        <f>+H137*C57</f>
        <v>770176.926519</v>
      </c>
      <c r="D59" s="1068" t="s">
        <v>90</v>
      </c>
    </row>
    <row r="60" s="1027" customFormat="1" spans="2:2">
      <c r="B60" s="1028"/>
    </row>
    <row r="61" s="1028" customFormat="1" ht="12.75" spans="2:8">
      <c r="B61" s="1068" t="s">
        <v>91</v>
      </c>
      <c r="C61" s="1070">
        <f>+C70*D33</f>
        <v>287718.09066</v>
      </c>
      <c r="D61" s="1068" t="s">
        <v>90</v>
      </c>
      <c r="G61" s="1071">
        <f>+C61/$C$59</f>
        <v>0.373574020141594</v>
      </c>
      <c r="H61" s="1068" t="s">
        <v>92</v>
      </c>
    </row>
    <row r="62" s="1028" customFormat="1" ht="19.95" customHeight="1" spans="2:6">
      <c r="B62" s="1072" t="s">
        <v>93</v>
      </c>
      <c r="C62" s="1073">
        <f>+C63/(24*C64*C65)</f>
        <v>1116.90526315789</v>
      </c>
      <c r="D62" s="1028" t="s">
        <v>94</v>
      </c>
      <c r="E62" s="1074"/>
      <c r="F62" s="1068"/>
    </row>
    <row r="63" s="1028" customFormat="1" ht="18.6" customHeight="1" spans="2:4">
      <c r="B63" s="1075" t="s">
        <v>95</v>
      </c>
      <c r="C63" s="1076">
        <f>+H137</f>
        <v>458377.92</v>
      </c>
      <c r="D63" s="1028" t="s">
        <v>96</v>
      </c>
    </row>
    <row r="64" s="1028" customFormat="1" ht="12.75" spans="2:5">
      <c r="B64" s="1075" t="s">
        <v>97</v>
      </c>
      <c r="C64" s="1077">
        <v>30</v>
      </c>
      <c r="D64" s="1028" t="s">
        <v>20</v>
      </c>
      <c r="E64" s="1078" t="s">
        <v>98</v>
      </c>
    </row>
    <row r="65" s="1028" customFormat="1" ht="12.75" spans="2:10">
      <c r="B65" s="1075" t="s">
        <v>99</v>
      </c>
      <c r="C65" s="1077">
        <v>0.57</v>
      </c>
      <c r="D65" s="1028" t="s">
        <v>100</v>
      </c>
      <c r="E65" s="1084" t="s">
        <v>101</v>
      </c>
      <c r="I65" s="1095"/>
      <c r="J65" s="1095"/>
    </row>
    <row r="66" s="1028" customFormat="1" ht="22.2" customHeight="1" spans="2:4">
      <c r="B66" s="1072" t="s">
        <v>102</v>
      </c>
      <c r="C66" s="1085">
        <f>+C67*C68</f>
        <v>700.2996</v>
      </c>
      <c r="D66" s="1028" t="s">
        <v>94</v>
      </c>
    </row>
    <row r="67" s="1028" customFormat="1" ht="15.6" customHeight="1" spans="2:4">
      <c r="B67" s="1028" t="s">
        <v>103</v>
      </c>
      <c r="C67" s="1077">
        <f>+C63/(24*C64)</f>
        <v>636.636</v>
      </c>
      <c r="D67" s="1028" t="s">
        <v>94</v>
      </c>
    </row>
    <row r="68" s="1028" customFormat="1" ht="27" customHeight="1" spans="2:8">
      <c r="B68" s="1028" t="s">
        <v>104</v>
      </c>
      <c r="C68" s="1077">
        <v>1.1</v>
      </c>
      <c r="E68" s="1086" t="s">
        <v>105</v>
      </c>
      <c r="F68" s="1086"/>
      <c r="G68" s="1086"/>
      <c r="H68" s="1086"/>
    </row>
    <row r="69" s="1028" customFormat="1" ht="12.75"/>
    <row r="70" s="1028" customFormat="1" ht="12.75" spans="2:4">
      <c r="B70" s="1028" t="s">
        <v>106</v>
      </c>
      <c r="C70" s="1085">
        <f>+MIN(C62,C66)</f>
        <v>700.2996</v>
      </c>
      <c r="D70" s="1028" t="s">
        <v>94</v>
      </c>
    </row>
    <row r="71" s="1028" customFormat="1" ht="12.75"/>
    <row r="72" s="1027" customFormat="1" spans="2:6">
      <c r="B72" s="1068" t="s">
        <v>107</v>
      </c>
      <c r="C72" s="1070">
        <f>+C77*D32</f>
        <v>53075.706684</v>
      </c>
      <c r="D72" s="1068" t="s">
        <v>90</v>
      </c>
      <c r="E72" s="1074">
        <f>+C72/$C$59</f>
        <v>0.0689136545856917</v>
      </c>
      <c r="F72" s="1068" t="s">
        <v>92</v>
      </c>
    </row>
    <row r="73" s="1028" customFormat="1" ht="22.95" customHeight="1" spans="2:6">
      <c r="B73" s="1072" t="s">
        <v>108</v>
      </c>
      <c r="C73" s="1085">
        <f>+C74*C75</f>
        <v>700.2996</v>
      </c>
      <c r="D73" s="1028" t="s">
        <v>94</v>
      </c>
      <c r="E73" s="1074"/>
      <c r="F73" s="1068"/>
    </row>
    <row r="74" s="1028" customFormat="1" ht="14.4" customHeight="1" spans="2:6">
      <c r="B74" s="1075" t="s">
        <v>103</v>
      </c>
      <c r="C74" s="1073">
        <f>+C67</f>
        <v>636.636</v>
      </c>
      <c r="D74" s="1028" t="s">
        <v>94</v>
      </c>
      <c r="E74" s="1074"/>
      <c r="F74" s="1068"/>
    </row>
    <row r="75" s="1028" customFormat="1" ht="23.4" customHeight="1" spans="2:8">
      <c r="B75" s="1075" t="s">
        <v>109</v>
      </c>
      <c r="C75" s="1073">
        <v>1.1</v>
      </c>
      <c r="E75" s="1086" t="s">
        <v>105</v>
      </c>
      <c r="F75" s="1086"/>
      <c r="G75" s="1086"/>
      <c r="H75" s="1086"/>
    </row>
    <row r="76" s="1028" customFormat="1" ht="12.75" spans="3:3">
      <c r="C76" s="1085"/>
    </row>
    <row r="77" s="1028" customFormat="1" ht="12.75" spans="2:6">
      <c r="B77" s="1028" t="s">
        <v>106</v>
      </c>
      <c r="C77" s="1085">
        <f>+MIN(C62,C73)</f>
        <v>700.2996</v>
      </c>
      <c r="D77" s="1028" t="s">
        <v>94</v>
      </c>
      <c r="E77" s="1087"/>
      <c r="F77" s="1087"/>
    </row>
    <row r="78" s="1025" customFormat="1" ht="15" spans="2:10">
      <c r="B78" s="183"/>
      <c r="C78" s="1035"/>
      <c r="D78" s="1035"/>
      <c r="E78" s="1035"/>
      <c r="F78" s="1035"/>
      <c r="G78" s="1035"/>
      <c r="H78"/>
      <c r="I78"/>
      <c r="J78"/>
    </row>
    <row r="79" s="1025" customFormat="1" ht="15" spans="2:10">
      <c r="B79" s="183" t="s">
        <v>110</v>
      </c>
      <c r="C79" s="1042"/>
      <c r="D79" s="1035"/>
      <c r="E79" s="1035"/>
      <c r="F79" s="1035"/>
      <c r="G79" s="1035"/>
      <c r="H79"/>
      <c r="I79"/>
      <c r="J79"/>
    </row>
    <row r="80" s="1025" customFormat="1" ht="15" spans="2:10">
      <c r="B80" s="806" t="s">
        <v>10</v>
      </c>
      <c r="C80" s="1043" t="s">
        <v>111</v>
      </c>
      <c r="D80" s="1035"/>
      <c r="E80" s="1035"/>
      <c r="F80" s="1035"/>
      <c r="G80" s="1035"/>
      <c r="H80"/>
      <c r="I80"/>
      <c r="J80"/>
    </row>
    <row r="81" s="1025" customFormat="1" ht="30" spans="2:10">
      <c r="B81" s="1088" t="s">
        <v>112</v>
      </c>
      <c r="C81" s="1062">
        <v>312</v>
      </c>
      <c r="D81" s="1035"/>
      <c r="E81" s="1035"/>
      <c r="F81" s="1035"/>
      <c r="G81" s="1035"/>
      <c r="H81"/>
      <c r="I81"/>
      <c r="J81"/>
    </row>
    <row r="82" s="1025" customFormat="1" ht="31.95" customHeight="1" spans="2:10">
      <c r="B82" s="1089" t="s">
        <v>113</v>
      </c>
      <c r="C82" s="1090"/>
      <c r="D82" s="1035"/>
      <c r="E82" s="1035"/>
      <c r="F82" s="1035"/>
      <c r="G82" s="1035"/>
      <c r="H82"/>
      <c r="I82"/>
      <c r="J82"/>
    </row>
    <row r="83" s="1025" customFormat="1" ht="15" spans="3:10">
      <c r="C83" s="1035"/>
      <c r="D83" s="1035"/>
      <c r="E83" s="1035"/>
      <c r="F83" s="1035"/>
      <c r="G83" s="1035"/>
      <c r="H83"/>
      <c r="I83"/>
      <c r="J83"/>
    </row>
    <row r="84" s="1025" customFormat="1" ht="15" spans="2:10">
      <c r="B84" s="183" t="s">
        <v>114</v>
      </c>
      <c r="C84"/>
      <c r="D84"/>
      <c r="E84"/>
      <c r="F84"/>
      <c r="G84"/>
      <c r="H84"/>
      <c r="I84"/>
      <c r="J84"/>
    </row>
    <row r="85" s="1025" customFormat="1" ht="15" spans="2:10">
      <c r="B85" s="690" t="s">
        <v>115</v>
      </c>
      <c r="C85" s="690" t="s">
        <v>116</v>
      </c>
      <c r="D85" s="690" t="s">
        <v>117</v>
      </c>
      <c r="E85" s="690"/>
      <c r="F85" s="598" t="s">
        <v>118</v>
      </c>
      <c r="G85" s="690" t="s">
        <v>119</v>
      </c>
      <c r="H85" s="690" t="s">
        <v>96</v>
      </c>
      <c r="I85" s="690" t="s">
        <v>120</v>
      </c>
      <c r="J85"/>
    </row>
    <row r="86" s="1025" customFormat="1" ht="15" spans="2:10">
      <c r="B86" s="1091" t="s">
        <v>121</v>
      </c>
      <c r="C86" s="1092">
        <v>5</v>
      </c>
      <c r="D86" s="667">
        <v>0.77</v>
      </c>
      <c r="E86" s="1092">
        <f>+C86*D86</f>
        <v>3.85</v>
      </c>
      <c r="F86" s="1041">
        <v>16</v>
      </c>
      <c r="G86" s="1093">
        <f>+E86*F86</f>
        <v>61.6</v>
      </c>
      <c r="H86" s="1094">
        <f>+I86/12</f>
        <v>1601.6</v>
      </c>
      <c r="I86" s="1094">
        <f>+G86*$C$81</f>
        <v>19219.2</v>
      </c>
      <c r="J86"/>
    </row>
    <row r="87" s="1025" customFormat="1" ht="15" spans="2:10">
      <c r="B87" s="1091" t="s">
        <v>122</v>
      </c>
      <c r="C87" s="1092">
        <v>5</v>
      </c>
      <c r="D87" s="667">
        <f>+D86</f>
        <v>0.77</v>
      </c>
      <c r="E87" s="1092">
        <f t="shared" ref="E87:E136" si="0">+C87*D87</f>
        <v>3.85</v>
      </c>
      <c r="F87" s="1041">
        <v>16</v>
      </c>
      <c r="G87" s="1093">
        <f t="shared" ref="G87:G136" si="1">+E87*F87</f>
        <v>61.6</v>
      </c>
      <c r="H87" s="1094">
        <f t="shared" ref="H87:H136" si="2">+I87/12</f>
        <v>1601.6</v>
      </c>
      <c r="I87" s="1094">
        <f t="shared" ref="I87:I136" si="3">+G87*$C$81</f>
        <v>19219.2</v>
      </c>
      <c r="J87"/>
    </row>
    <row r="88" s="1025" customFormat="1" ht="30" spans="2:10">
      <c r="B88" s="1091" t="s">
        <v>123</v>
      </c>
      <c r="C88" s="1092">
        <v>8</v>
      </c>
      <c r="D88" s="667">
        <f t="shared" ref="D88:D136" si="4">+D87</f>
        <v>0.77</v>
      </c>
      <c r="E88" s="1092">
        <f t="shared" si="0"/>
        <v>6.16</v>
      </c>
      <c r="F88" s="1041">
        <v>16</v>
      </c>
      <c r="G88" s="1093">
        <f t="shared" si="1"/>
        <v>98.56</v>
      </c>
      <c r="H88" s="1094">
        <f t="shared" si="2"/>
        <v>2562.56</v>
      </c>
      <c r="I88" s="1094">
        <f t="shared" si="3"/>
        <v>30750.72</v>
      </c>
      <c r="J88"/>
    </row>
    <row r="89" s="1025" customFormat="1" ht="15" spans="2:10">
      <c r="B89" s="1091" t="s">
        <v>124</v>
      </c>
      <c r="C89" s="1092">
        <v>5</v>
      </c>
      <c r="D89" s="667">
        <f t="shared" si="4"/>
        <v>0.77</v>
      </c>
      <c r="E89" s="1092">
        <f t="shared" si="0"/>
        <v>3.85</v>
      </c>
      <c r="F89" s="1041">
        <v>16</v>
      </c>
      <c r="G89" s="1093">
        <f t="shared" si="1"/>
        <v>61.6</v>
      </c>
      <c r="H89" s="1094">
        <f t="shared" si="2"/>
        <v>1601.6</v>
      </c>
      <c r="I89" s="1094">
        <f t="shared" si="3"/>
        <v>19219.2</v>
      </c>
      <c r="J89"/>
    </row>
    <row r="90" s="1025" customFormat="1" ht="15" spans="2:10">
      <c r="B90" s="1091" t="s">
        <v>125</v>
      </c>
      <c r="C90" s="1092">
        <v>5</v>
      </c>
      <c r="D90" s="667">
        <f t="shared" si="4"/>
        <v>0.77</v>
      </c>
      <c r="E90" s="1092">
        <f t="shared" si="0"/>
        <v>3.85</v>
      </c>
      <c r="F90" s="1041">
        <v>16</v>
      </c>
      <c r="G90" s="1093">
        <f t="shared" si="1"/>
        <v>61.6</v>
      </c>
      <c r="H90" s="1094">
        <f t="shared" si="2"/>
        <v>1601.6</v>
      </c>
      <c r="I90" s="1094">
        <f t="shared" si="3"/>
        <v>19219.2</v>
      </c>
      <c r="J90"/>
    </row>
    <row r="91" s="1025" customFormat="1" ht="15" spans="2:10">
      <c r="B91" s="1091" t="s">
        <v>126</v>
      </c>
      <c r="C91" s="1092">
        <v>8</v>
      </c>
      <c r="D91" s="667">
        <f t="shared" si="4"/>
        <v>0.77</v>
      </c>
      <c r="E91" s="1092">
        <f t="shared" si="0"/>
        <v>6.16</v>
      </c>
      <c r="F91" s="1041">
        <v>16</v>
      </c>
      <c r="G91" s="1093">
        <f t="shared" si="1"/>
        <v>98.56</v>
      </c>
      <c r="H91" s="1094">
        <f t="shared" si="2"/>
        <v>2562.56</v>
      </c>
      <c r="I91" s="1094">
        <f t="shared" si="3"/>
        <v>30750.72</v>
      </c>
      <c r="J91"/>
    </row>
    <row r="92" s="1025" customFormat="1" ht="15" spans="2:10">
      <c r="B92" s="1091" t="s">
        <v>127</v>
      </c>
      <c r="C92" s="1092">
        <v>6</v>
      </c>
      <c r="D92" s="667">
        <f t="shared" si="4"/>
        <v>0.77</v>
      </c>
      <c r="E92" s="1092">
        <f t="shared" si="0"/>
        <v>4.62</v>
      </c>
      <c r="F92" s="1041">
        <v>16</v>
      </c>
      <c r="G92" s="1093">
        <f t="shared" si="1"/>
        <v>73.92</v>
      </c>
      <c r="H92" s="1094">
        <f t="shared" si="2"/>
        <v>1921.92</v>
      </c>
      <c r="I92" s="1094">
        <f t="shared" si="3"/>
        <v>23063.04</v>
      </c>
      <c r="J92"/>
    </row>
    <row r="93" s="1025" customFormat="1" ht="30" spans="2:10">
      <c r="B93" s="1091" t="s">
        <v>128</v>
      </c>
      <c r="C93" s="1092">
        <v>4</v>
      </c>
      <c r="D93" s="667">
        <f t="shared" si="4"/>
        <v>0.77</v>
      </c>
      <c r="E93" s="1092">
        <f t="shared" si="0"/>
        <v>3.08</v>
      </c>
      <c r="F93" s="1041">
        <v>16</v>
      </c>
      <c r="G93" s="1093">
        <f t="shared" si="1"/>
        <v>49.28</v>
      </c>
      <c r="H93" s="1094">
        <f t="shared" si="2"/>
        <v>1281.28</v>
      </c>
      <c r="I93" s="1094">
        <f t="shared" si="3"/>
        <v>15375.36</v>
      </c>
      <c r="J93"/>
    </row>
    <row r="94" s="1025" customFormat="1" ht="30" spans="2:10">
      <c r="B94" s="1091" t="s">
        <v>129</v>
      </c>
      <c r="C94" s="1092">
        <v>3</v>
      </c>
      <c r="D94" s="667">
        <f t="shared" si="4"/>
        <v>0.77</v>
      </c>
      <c r="E94" s="1092">
        <f t="shared" si="0"/>
        <v>2.31</v>
      </c>
      <c r="F94" s="1041">
        <v>16</v>
      </c>
      <c r="G94" s="1093">
        <f t="shared" si="1"/>
        <v>36.96</v>
      </c>
      <c r="H94" s="1094">
        <f t="shared" si="2"/>
        <v>960.96</v>
      </c>
      <c r="I94" s="1094">
        <f t="shared" si="3"/>
        <v>11531.52</v>
      </c>
      <c r="J94"/>
    </row>
    <row r="95" s="1025" customFormat="1" ht="15" spans="2:10">
      <c r="B95" s="1091" t="s">
        <v>130</v>
      </c>
      <c r="C95" s="1092">
        <v>32</v>
      </c>
      <c r="D95" s="667">
        <f t="shared" si="4"/>
        <v>0.77</v>
      </c>
      <c r="E95" s="1092">
        <f t="shared" si="0"/>
        <v>24.64</v>
      </c>
      <c r="F95" s="1041">
        <v>16</v>
      </c>
      <c r="G95" s="1093">
        <f t="shared" si="1"/>
        <v>394.24</v>
      </c>
      <c r="H95" s="1094">
        <f t="shared" si="2"/>
        <v>10250.24</v>
      </c>
      <c r="I95" s="1094">
        <f t="shared" si="3"/>
        <v>123002.88</v>
      </c>
      <c r="J95"/>
    </row>
    <row r="96" s="1025" customFormat="1" ht="15" spans="2:10">
      <c r="B96" s="1091" t="s">
        <v>131</v>
      </c>
      <c r="C96" s="1092">
        <v>32</v>
      </c>
      <c r="D96" s="667">
        <f t="shared" si="4"/>
        <v>0.77</v>
      </c>
      <c r="E96" s="1092">
        <f t="shared" si="0"/>
        <v>24.64</v>
      </c>
      <c r="F96" s="1041">
        <v>16</v>
      </c>
      <c r="G96" s="1093">
        <f t="shared" si="1"/>
        <v>394.24</v>
      </c>
      <c r="H96" s="1094">
        <f t="shared" si="2"/>
        <v>10250.24</v>
      </c>
      <c r="I96" s="1094">
        <f t="shared" si="3"/>
        <v>123002.88</v>
      </c>
      <c r="J96"/>
    </row>
    <row r="97" s="1025" customFormat="1" ht="30" spans="2:10">
      <c r="B97" s="1091" t="s">
        <v>132</v>
      </c>
      <c r="C97" s="1092">
        <v>4</v>
      </c>
      <c r="D97" s="667">
        <f t="shared" si="4"/>
        <v>0.77</v>
      </c>
      <c r="E97" s="1092">
        <f t="shared" si="0"/>
        <v>3.08</v>
      </c>
      <c r="F97" s="1041">
        <v>16</v>
      </c>
      <c r="G97" s="1093">
        <f t="shared" si="1"/>
        <v>49.28</v>
      </c>
      <c r="H97" s="1094">
        <f t="shared" si="2"/>
        <v>1281.28</v>
      </c>
      <c r="I97" s="1094">
        <f t="shared" si="3"/>
        <v>15375.36</v>
      </c>
      <c r="J97"/>
    </row>
    <row r="98" s="1025" customFormat="1" ht="30" spans="2:10">
      <c r="B98" s="1091" t="s">
        <v>133</v>
      </c>
      <c r="C98" s="1092">
        <v>4</v>
      </c>
      <c r="D98" s="667">
        <f t="shared" si="4"/>
        <v>0.77</v>
      </c>
      <c r="E98" s="1092">
        <f t="shared" si="0"/>
        <v>3.08</v>
      </c>
      <c r="F98" s="1041">
        <v>16</v>
      </c>
      <c r="G98" s="1093">
        <f t="shared" si="1"/>
        <v>49.28</v>
      </c>
      <c r="H98" s="1094">
        <f t="shared" si="2"/>
        <v>1281.28</v>
      </c>
      <c r="I98" s="1094">
        <f t="shared" si="3"/>
        <v>15375.36</v>
      </c>
      <c r="J98"/>
    </row>
    <row r="99" s="1025" customFormat="1" ht="30" spans="2:10">
      <c r="B99" s="1091" t="s">
        <v>134</v>
      </c>
      <c r="C99" s="1092">
        <v>8</v>
      </c>
      <c r="D99" s="667">
        <f t="shared" si="4"/>
        <v>0.77</v>
      </c>
      <c r="E99" s="1092">
        <f t="shared" si="0"/>
        <v>6.16</v>
      </c>
      <c r="F99" s="1041">
        <v>16</v>
      </c>
      <c r="G99" s="1093">
        <f t="shared" si="1"/>
        <v>98.56</v>
      </c>
      <c r="H99" s="1094">
        <f t="shared" si="2"/>
        <v>2562.56</v>
      </c>
      <c r="I99" s="1094">
        <f t="shared" si="3"/>
        <v>30750.72</v>
      </c>
      <c r="J99"/>
    </row>
    <row r="100" s="1025" customFormat="1" ht="30" spans="2:10">
      <c r="B100" s="1091" t="s">
        <v>135</v>
      </c>
      <c r="C100" s="1092">
        <v>6</v>
      </c>
      <c r="D100" s="667">
        <f t="shared" si="4"/>
        <v>0.77</v>
      </c>
      <c r="E100" s="1092">
        <f t="shared" si="0"/>
        <v>4.62</v>
      </c>
      <c r="F100" s="1041">
        <v>16</v>
      </c>
      <c r="G100" s="1093">
        <f t="shared" si="1"/>
        <v>73.92</v>
      </c>
      <c r="H100" s="1094">
        <f t="shared" si="2"/>
        <v>1921.92</v>
      </c>
      <c r="I100" s="1094">
        <f t="shared" si="3"/>
        <v>23063.04</v>
      </c>
      <c r="J100"/>
    </row>
    <row r="101" s="1025" customFormat="1" ht="15" spans="2:10">
      <c r="B101" s="1091" t="s">
        <v>136</v>
      </c>
      <c r="C101" s="1092">
        <v>5</v>
      </c>
      <c r="D101" s="667">
        <f t="shared" si="4"/>
        <v>0.77</v>
      </c>
      <c r="E101" s="1092">
        <f t="shared" si="0"/>
        <v>3.85</v>
      </c>
      <c r="F101" s="1041">
        <v>16</v>
      </c>
      <c r="G101" s="1093">
        <f t="shared" si="1"/>
        <v>61.6</v>
      </c>
      <c r="H101" s="1094">
        <f t="shared" si="2"/>
        <v>1601.6</v>
      </c>
      <c r="I101" s="1094">
        <f t="shared" si="3"/>
        <v>19219.2</v>
      </c>
      <c r="J101"/>
    </row>
    <row r="102" s="1025" customFormat="1" ht="15" spans="2:10">
      <c r="B102" s="1091" t="s">
        <v>137</v>
      </c>
      <c r="C102" s="1092">
        <v>5</v>
      </c>
      <c r="D102" s="667">
        <f t="shared" si="4"/>
        <v>0.77</v>
      </c>
      <c r="E102" s="1092">
        <f t="shared" si="0"/>
        <v>3.85</v>
      </c>
      <c r="F102" s="1041">
        <v>16</v>
      </c>
      <c r="G102" s="1093">
        <f t="shared" si="1"/>
        <v>61.6</v>
      </c>
      <c r="H102" s="1094">
        <f t="shared" si="2"/>
        <v>1601.6</v>
      </c>
      <c r="I102" s="1094">
        <f t="shared" si="3"/>
        <v>19219.2</v>
      </c>
      <c r="J102"/>
    </row>
    <row r="103" s="1025" customFormat="1" ht="15" spans="2:10">
      <c r="B103" s="1091" t="s">
        <v>138</v>
      </c>
      <c r="C103" s="1092">
        <v>34</v>
      </c>
      <c r="D103" s="667">
        <f t="shared" si="4"/>
        <v>0.77</v>
      </c>
      <c r="E103" s="1092">
        <f t="shared" si="0"/>
        <v>26.18</v>
      </c>
      <c r="F103" s="1041">
        <v>16</v>
      </c>
      <c r="G103" s="1093">
        <f t="shared" si="1"/>
        <v>418.88</v>
      </c>
      <c r="H103" s="1094">
        <f t="shared" si="2"/>
        <v>10890.88</v>
      </c>
      <c r="I103" s="1094">
        <f t="shared" si="3"/>
        <v>130690.56</v>
      </c>
      <c r="J103"/>
    </row>
    <row r="104" s="1025" customFormat="1" ht="15" spans="2:10">
      <c r="B104" s="1091" t="s">
        <v>139</v>
      </c>
      <c r="C104" s="1092">
        <v>34</v>
      </c>
      <c r="D104" s="667">
        <f t="shared" si="4"/>
        <v>0.77</v>
      </c>
      <c r="E104" s="1092">
        <f t="shared" si="0"/>
        <v>26.18</v>
      </c>
      <c r="F104" s="1041">
        <v>16</v>
      </c>
      <c r="G104" s="1093">
        <f t="shared" si="1"/>
        <v>418.88</v>
      </c>
      <c r="H104" s="1094">
        <f t="shared" si="2"/>
        <v>10890.88</v>
      </c>
      <c r="I104" s="1094">
        <f t="shared" si="3"/>
        <v>130690.56</v>
      </c>
      <c r="J104"/>
    </row>
    <row r="105" s="1025" customFormat="1" ht="30" spans="2:10">
      <c r="B105" s="1091" t="s">
        <v>140</v>
      </c>
      <c r="C105" s="1092">
        <v>11</v>
      </c>
      <c r="D105" s="667">
        <f t="shared" si="4"/>
        <v>0.77</v>
      </c>
      <c r="E105" s="1092">
        <f t="shared" si="0"/>
        <v>8.47</v>
      </c>
      <c r="F105" s="1041">
        <v>16</v>
      </c>
      <c r="G105" s="1093">
        <f t="shared" si="1"/>
        <v>135.52</v>
      </c>
      <c r="H105" s="1094">
        <f t="shared" si="2"/>
        <v>3523.52</v>
      </c>
      <c r="I105" s="1094">
        <f t="shared" si="3"/>
        <v>42282.24</v>
      </c>
      <c r="J105"/>
    </row>
    <row r="106" s="1025" customFormat="1" ht="30" spans="2:10">
      <c r="B106" s="1091" t="s">
        <v>141</v>
      </c>
      <c r="C106" s="1092">
        <v>8</v>
      </c>
      <c r="D106" s="667">
        <f t="shared" si="4"/>
        <v>0.77</v>
      </c>
      <c r="E106" s="1092">
        <f t="shared" si="0"/>
        <v>6.16</v>
      </c>
      <c r="F106" s="1041">
        <v>16</v>
      </c>
      <c r="G106" s="1093">
        <f t="shared" si="1"/>
        <v>98.56</v>
      </c>
      <c r="H106" s="1094">
        <f t="shared" si="2"/>
        <v>2562.56</v>
      </c>
      <c r="I106" s="1094">
        <f t="shared" si="3"/>
        <v>30750.72</v>
      </c>
      <c r="J106"/>
    </row>
    <row r="107" s="1025" customFormat="1" ht="15" spans="2:10">
      <c r="B107" s="1091" t="s">
        <v>142</v>
      </c>
      <c r="C107" s="1092">
        <v>27</v>
      </c>
      <c r="D107" s="667">
        <f t="shared" si="4"/>
        <v>0.77</v>
      </c>
      <c r="E107" s="1092">
        <f t="shared" si="0"/>
        <v>20.79</v>
      </c>
      <c r="F107" s="1041">
        <v>16</v>
      </c>
      <c r="G107" s="1093">
        <f t="shared" si="1"/>
        <v>332.64</v>
      </c>
      <c r="H107" s="1094">
        <f t="shared" si="2"/>
        <v>8648.64</v>
      </c>
      <c r="I107" s="1094">
        <f t="shared" si="3"/>
        <v>103783.68</v>
      </c>
      <c r="J107"/>
    </row>
    <row r="108" s="1025" customFormat="1" ht="15" spans="2:10">
      <c r="B108" s="1091" t="s">
        <v>143</v>
      </c>
      <c r="C108" s="1092">
        <v>27</v>
      </c>
      <c r="D108" s="667">
        <f t="shared" si="4"/>
        <v>0.77</v>
      </c>
      <c r="E108" s="1092">
        <f t="shared" si="0"/>
        <v>20.79</v>
      </c>
      <c r="F108" s="1041">
        <v>16</v>
      </c>
      <c r="G108" s="1093">
        <f t="shared" si="1"/>
        <v>332.64</v>
      </c>
      <c r="H108" s="1094">
        <f t="shared" si="2"/>
        <v>8648.64</v>
      </c>
      <c r="I108" s="1094">
        <f t="shared" si="3"/>
        <v>103783.68</v>
      </c>
      <c r="J108"/>
    </row>
    <row r="109" s="1025" customFormat="1" ht="30" spans="2:10">
      <c r="B109" s="1091" t="s">
        <v>144</v>
      </c>
      <c r="C109" s="1092">
        <v>5</v>
      </c>
      <c r="D109" s="667">
        <f t="shared" si="4"/>
        <v>0.77</v>
      </c>
      <c r="E109" s="1092">
        <f t="shared" si="0"/>
        <v>3.85</v>
      </c>
      <c r="F109" s="1041">
        <v>16</v>
      </c>
      <c r="G109" s="1093">
        <f t="shared" si="1"/>
        <v>61.6</v>
      </c>
      <c r="H109" s="1094">
        <f t="shared" si="2"/>
        <v>1601.6</v>
      </c>
      <c r="I109" s="1094">
        <f t="shared" si="3"/>
        <v>19219.2</v>
      </c>
      <c r="J109"/>
    </row>
    <row r="110" s="1025" customFormat="1" ht="30" spans="2:10">
      <c r="B110" s="1091" t="s">
        <v>145</v>
      </c>
      <c r="C110" s="1092">
        <v>5</v>
      </c>
      <c r="D110" s="667">
        <f t="shared" si="4"/>
        <v>0.77</v>
      </c>
      <c r="E110" s="1092">
        <f t="shared" si="0"/>
        <v>3.85</v>
      </c>
      <c r="F110" s="1041">
        <v>16</v>
      </c>
      <c r="G110" s="1093">
        <f t="shared" si="1"/>
        <v>61.6</v>
      </c>
      <c r="H110" s="1094">
        <f t="shared" si="2"/>
        <v>1601.6</v>
      </c>
      <c r="I110" s="1094">
        <f t="shared" si="3"/>
        <v>19219.2</v>
      </c>
      <c r="J110"/>
    </row>
    <row r="111" s="1025" customFormat="1" ht="15" spans="2:10">
      <c r="B111" s="1091" t="s">
        <v>146</v>
      </c>
      <c r="C111" s="1092">
        <v>6</v>
      </c>
      <c r="D111" s="667">
        <f t="shared" si="4"/>
        <v>0.77</v>
      </c>
      <c r="E111" s="1092">
        <f t="shared" si="0"/>
        <v>4.62</v>
      </c>
      <c r="F111" s="1041">
        <v>16</v>
      </c>
      <c r="G111" s="1093">
        <f t="shared" si="1"/>
        <v>73.92</v>
      </c>
      <c r="H111" s="1094">
        <f t="shared" si="2"/>
        <v>1921.92</v>
      </c>
      <c r="I111" s="1094">
        <f t="shared" si="3"/>
        <v>23063.04</v>
      </c>
      <c r="J111"/>
    </row>
    <row r="112" s="1025" customFormat="1" ht="30" spans="2:10">
      <c r="B112" s="1091" t="s">
        <v>147</v>
      </c>
      <c r="C112" s="1092">
        <v>8</v>
      </c>
      <c r="D112" s="667">
        <f t="shared" si="4"/>
        <v>0.77</v>
      </c>
      <c r="E112" s="1092">
        <f t="shared" si="0"/>
        <v>6.16</v>
      </c>
      <c r="F112" s="1041">
        <v>16</v>
      </c>
      <c r="G112" s="1093">
        <f t="shared" si="1"/>
        <v>98.56</v>
      </c>
      <c r="H112" s="1094">
        <f t="shared" si="2"/>
        <v>2562.56</v>
      </c>
      <c r="I112" s="1094">
        <f t="shared" si="3"/>
        <v>30750.72</v>
      </c>
      <c r="J112"/>
    </row>
    <row r="113" s="1025" customFormat="1" ht="15" spans="2:10">
      <c r="B113" s="1091" t="s">
        <v>148</v>
      </c>
      <c r="C113" s="1092">
        <v>4</v>
      </c>
      <c r="D113" s="667">
        <f t="shared" si="4"/>
        <v>0.77</v>
      </c>
      <c r="E113" s="1092">
        <f t="shared" si="0"/>
        <v>3.08</v>
      </c>
      <c r="F113" s="1041">
        <v>16</v>
      </c>
      <c r="G113" s="1093">
        <f t="shared" si="1"/>
        <v>49.28</v>
      </c>
      <c r="H113" s="1094">
        <f t="shared" si="2"/>
        <v>1281.28</v>
      </c>
      <c r="I113" s="1094">
        <f t="shared" si="3"/>
        <v>15375.36</v>
      </c>
      <c r="J113"/>
    </row>
    <row r="114" s="1025" customFormat="1" ht="15" spans="2:10">
      <c r="B114" s="1091" t="s">
        <v>149</v>
      </c>
      <c r="C114" s="1092">
        <v>6</v>
      </c>
      <c r="D114" s="667">
        <f t="shared" si="4"/>
        <v>0.77</v>
      </c>
      <c r="E114" s="1092">
        <f t="shared" si="0"/>
        <v>4.62</v>
      </c>
      <c r="F114" s="1041">
        <v>16</v>
      </c>
      <c r="G114" s="1093">
        <f t="shared" si="1"/>
        <v>73.92</v>
      </c>
      <c r="H114" s="1094">
        <f t="shared" si="2"/>
        <v>1921.92</v>
      </c>
      <c r="I114" s="1094">
        <f t="shared" si="3"/>
        <v>23063.04</v>
      </c>
      <c r="J114"/>
    </row>
    <row r="115" s="1025" customFormat="1" ht="15" spans="2:10">
      <c r="B115" s="1091" t="s">
        <v>150</v>
      </c>
      <c r="C115" s="1092">
        <v>5</v>
      </c>
      <c r="D115" s="667">
        <f t="shared" si="4"/>
        <v>0.77</v>
      </c>
      <c r="E115" s="1092">
        <f t="shared" si="0"/>
        <v>3.85</v>
      </c>
      <c r="F115" s="1041">
        <v>16</v>
      </c>
      <c r="G115" s="1093">
        <f t="shared" si="1"/>
        <v>61.6</v>
      </c>
      <c r="H115" s="1094">
        <f t="shared" si="2"/>
        <v>1601.6</v>
      </c>
      <c r="I115" s="1094">
        <f t="shared" si="3"/>
        <v>19219.2</v>
      </c>
      <c r="J115"/>
    </row>
    <row r="116" s="1025" customFormat="1" ht="15" spans="2:10">
      <c r="B116" s="1091" t="s">
        <v>151</v>
      </c>
      <c r="C116" s="1092">
        <v>11</v>
      </c>
      <c r="D116" s="667">
        <f t="shared" si="4"/>
        <v>0.77</v>
      </c>
      <c r="E116" s="1092">
        <f t="shared" si="0"/>
        <v>8.47</v>
      </c>
      <c r="F116" s="1041">
        <v>16</v>
      </c>
      <c r="G116" s="1093">
        <f t="shared" si="1"/>
        <v>135.52</v>
      </c>
      <c r="H116" s="1094">
        <f t="shared" si="2"/>
        <v>3523.52</v>
      </c>
      <c r="I116" s="1094">
        <f t="shared" si="3"/>
        <v>42282.24</v>
      </c>
      <c r="J116"/>
    </row>
    <row r="117" s="1025" customFormat="1" ht="30" spans="2:10">
      <c r="B117" s="1091" t="s">
        <v>152</v>
      </c>
      <c r="C117" s="1092">
        <v>8</v>
      </c>
      <c r="D117" s="667">
        <f t="shared" si="4"/>
        <v>0.77</v>
      </c>
      <c r="E117" s="1092">
        <f t="shared" si="0"/>
        <v>6.16</v>
      </c>
      <c r="F117" s="1041">
        <v>16</v>
      </c>
      <c r="G117" s="1093">
        <f t="shared" si="1"/>
        <v>98.56</v>
      </c>
      <c r="H117" s="1094">
        <f t="shared" si="2"/>
        <v>2562.56</v>
      </c>
      <c r="I117" s="1094">
        <f t="shared" si="3"/>
        <v>30750.72</v>
      </c>
      <c r="J117"/>
    </row>
    <row r="118" s="1025" customFormat="1" ht="30" spans="2:10">
      <c r="B118" s="1091" t="s">
        <v>153</v>
      </c>
      <c r="C118" s="1092">
        <v>5</v>
      </c>
      <c r="D118" s="667">
        <f t="shared" si="4"/>
        <v>0.77</v>
      </c>
      <c r="E118" s="1092">
        <f t="shared" si="0"/>
        <v>3.85</v>
      </c>
      <c r="F118" s="1041">
        <v>16</v>
      </c>
      <c r="G118" s="1093">
        <f t="shared" si="1"/>
        <v>61.6</v>
      </c>
      <c r="H118" s="1094">
        <f t="shared" si="2"/>
        <v>1601.6</v>
      </c>
      <c r="I118" s="1094">
        <f t="shared" si="3"/>
        <v>19219.2</v>
      </c>
      <c r="J118"/>
    </row>
    <row r="119" s="1025" customFormat="1" ht="30" spans="2:10">
      <c r="B119" s="1091" t="s">
        <v>154</v>
      </c>
      <c r="C119" s="1092">
        <v>6</v>
      </c>
      <c r="D119" s="667">
        <f t="shared" si="4"/>
        <v>0.77</v>
      </c>
      <c r="E119" s="1092">
        <f t="shared" si="0"/>
        <v>4.62</v>
      </c>
      <c r="F119" s="1041">
        <v>16</v>
      </c>
      <c r="G119" s="1093">
        <f t="shared" si="1"/>
        <v>73.92</v>
      </c>
      <c r="H119" s="1094">
        <f t="shared" si="2"/>
        <v>1921.92</v>
      </c>
      <c r="I119" s="1094">
        <f t="shared" si="3"/>
        <v>23063.04</v>
      </c>
      <c r="J119"/>
    </row>
    <row r="120" s="1025" customFormat="1" ht="30" spans="2:10">
      <c r="B120" s="1091" t="s">
        <v>155</v>
      </c>
      <c r="C120" s="1092">
        <v>6</v>
      </c>
      <c r="D120" s="667">
        <f t="shared" si="4"/>
        <v>0.77</v>
      </c>
      <c r="E120" s="1092">
        <f t="shared" si="0"/>
        <v>4.62</v>
      </c>
      <c r="F120" s="1041">
        <v>16</v>
      </c>
      <c r="G120" s="1093">
        <f t="shared" si="1"/>
        <v>73.92</v>
      </c>
      <c r="H120" s="1094">
        <f t="shared" si="2"/>
        <v>1921.92</v>
      </c>
      <c r="I120" s="1094">
        <f t="shared" si="3"/>
        <v>23063.04</v>
      </c>
      <c r="J120"/>
    </row>
    <row r="121" s="1025" customFormat="1" ht="30" spans="2:10">
      <c r="B121" s="1091" t="s">
        <v>156</v>
      </c>
      <c r="C121" s="1092">
        <v>11</v>
      </c>
      <c r="D121" s="667">
        <f t="shared" si="4"/>
        <v>0.77</v>
      </c>
      <c r="E121" s="1092">
        <f t="shared" si="0"/>
        <v>8.47</v>
      </c>
      <c r="F121" s="1041">
        <v>16</v>
      </c>
      <c r="G121" s="1093">
        <f t="shared" si="1"/>
        <v>135.52</v>
      </c>
      <c r="H121" s="1094">
        <f t="shared" si="2"/>
        <v>3523.52</v>
      </c>
      <c r="I121" s="1094">
        <f t="shared" si="3"/>
        <v>42282.24</v>
      </c>
      <c r="J121"/>
    </row>
    <row r="122" s="1025" customFormat="1" ht="15" spans="2:10">
      <c r="B122" s="1091" t="s">
        <v>157</v>
      </c>
      <c r="C122" s="1092">
        <v>6</v>
      </c>
      <c r="D122" s="667">
        <f t="shared" si="4"/>
        <v>0.77</v>
      </c>
      <c r="E122" s="1092">
        <f t="shared" si="0"/>
        <v>4.62</v>
      </c>
      <c r="F122" s="1041">
        <v>16</v>
      </c>
      <c r="G122" s="1093">
        <f t="shared" si="1"/>
        <v>73.92</v>
      </c>
      <c r="H122" s="1094">
        <f t="shared" si="2"/>
        <v>1921.92</v>
      </c>
      <c r="I122" s="1094">
        <f t="shared" si="3"/>
        <v>23063.04</v>
      </c>
      <c r="J122"/>
    </row>
    <row r="123" s="1025" customFormat="1" ht="30" spans="2:10">
      <c r="B123" s="1091" t="s">
        <v>158</v>
      </c>
      <c r="C123" s="1092">
        <v>5</v>
      </c>
      <c r="D123" s="667">
        <f t="shared" si="4"/>
        <v>0.77</v>
      </c>
      <c r="E123" s="1092">
        <f t="shared" si="0"/>
        <v>3.85</v>
      </c>
      <c r="F123" s="1041">
        <v>16</v>
      </c>
      <c r="G123" s="1093">
        <f t="shared" si="1"/>
        <v>61.6</v>
      </c>
      <c r="H123" s="1094">
        <f t="shared" si="2"/>
        <v>1601.6</v>
      </c>
      <c r="I123" s="1094">
        <f t="shared" si="3"/>
        <v>19219.2</v>
      </c>
      <c r="J123"/>
    </row>
    <row r="124" s="1025" customFormat="1" ht="15" spans="2:10">
      <c r="B124" s="1091" t="s">
        <v>159</v>
      </c>
      <c r="C124" s="1092">
        <v>11</v>
      </c>
      <c r="D124" s="667">
        <f t="shared" si="4"/>
        <v>0.77</v>
      </c>
      <c r="E124" s="1092">
        <f t="shared" si="0"/>
        <v>8.47</v>
      </c>
      <c r="F124" s="1041">
        <v>16</v>
      </c>
      <c r="G124" s="1093">
        <f t="shared" si="1"/>
        <v>135.52</v>
      </c>
      <c r="H124" s="1094">
        <f t="shared" si="2"/>
        <v>3523.52</v>
      </c>
      <c r="I124" s="1094">
        <f t="shared" si="3"/>
        <v>42282.24</v>
      </c>
      <c r="J124"/>
    </row>
    <row r="125" s="1025" customFormat="1" ht="15" spans="2:10">
      <c r="B125" s="1091" t="s">
        <v>160</v>
      </c>
      <c r="C125" s="1092">
        <v>4</v>
      </c>
      <c r="D125" s="667">
        <f t="shared" si="4"/>
        <v>0.77</v>
      </c>
      <c r="E125" s="1092">
        <f t="shared" si="0"/>
        <v>3.08</v>
      </c>
      <c r="F125" s="1041">
        <v>16</v>
      </c>
      <c r="G125" s="1093">
        <f t="shared" si="1"/>
        <v>49.28</v>
      </c>
      <c r="H125" s="1094">
        <f t="shared" si="2"/>
        <v>1281.28</v>
      </c>
      <c r="I125" s="1094">
        <f t="shared" si="3"/>
        <v>15375.36</v>
      </c>
      <c r="J125"/>
    </row>
    <row r="126" s="1025" customFormat="1" ht="30" spans="2:10">
      <c r="B126" s="1091" t="s">
        <v>161</v>
      </c>
      <c r="C126" s="1092">
        <v>6</v>
      </c>
      <c r="D126" s="667">
        <f t="shared" si="4"/>
        <v>0.77</v>
      </c>
      <c r="E126" s="1092">
        <f t="shared" si="0"/>
        <v>4.62</v>
      </c>
      <c r="F126" s="1041">
        <v>16</v>
      </c>
      <c r="G126" s="1093">
        <f t="shared" si="1"/>
        <v>73.92</v>
      </c>
      <c r="H126" s="1094">
        <f t="shared" si="2"/>
        <v>1921.92</v>
      </c>
      <c r="I126" s="1094">
        <f t="shared" si="3"/>
        <v>23063.04</v>
      </c>
      <c r="J126"/>
    </row>
    <row r="127" s="1025" customFormat="1" ht="15" spans="2:10">
      <c r="B127" s="1091" t="s">
        <v>162</v>
      </c>
      <c r="C127" s="1092">
        <v>4</v>
      </c>
      <c r="D127" s="667">
        <f t="shared" si="4"/>
        <v>0.77</v>
      </c>
      <c r="E127" s="1092">
        <f t="shared" si="0"/>
        <v>3.08</v>
      </c>
      <c r="F127" s="1041">
        <v>16</v>
      </c>
      <c r="G127" s="1093">
        <f t="shared" si="1"/>
        <v>49.28</v>
      </c>
      <c r="H127" s="1094">
        <f t="shared" si="2"/>
        <v>1281.28</v>
      </c>
      <c r="I127" s="1094">
        <f t="shared" si="3"/>
        <v>15375.36</v>
      </c>
      <c r="J127"/>
    </row>
    <row r="128" s="1025" customFormat="1" ht="15" spans="2:10">
      <c r="B128" s="1091" t="s">
        <v>163</v>
      </c>
      <c r="C128" s="1092">
        <v>5</v>
      </c>
      <c r="D128" s="667">
        <f t="shared" si="4"/>
        <v>0.77</v>
      </c>
      <c r="E128" s="1092">
        <f t="shared" si="0"/>
        <v>3.85</v>
      </c>
      <c r="F128" s="1041">
        <v>16</v>
      </c>
      <c r="G128" s="1093">
        <f t="shared" si="1"/>
        <v>61.6</v>
      </c>
      <c r="H128" s="1094">
        <f t="shared" si="2"/>
        <v>1601.6</v>
      </c>
      <c r="I128" s="1094">
        <f t="shared" si="3"/>
        <v>19219.2</v>
      </c>
      <c r="J128"/>
    </row>
    <row r="129" s="1025" customFormat="1" ht="15" spans="2:10">
      <c r="B129" s="1091" t="s">
        <v>164</v>
      </c>
      <c r="C129" s="1092">
        <v>453</v>
      </c>
      <c r="D129" s="667">
        <f t="shared" si="4"/>
        <v>0.77</v>
      </c>
      <c r="E129" s="1092">
        <f t="shared" si="0"/>
        <v>348.81</v>
      </c>
      <c r="F129" s="1041">
        <v>16</v>
      </c>
      <c r="G129" s="1093">
        <f t="shared" si="1"/>
        <v>5580.96</v>
      </c>
      <c r="H129" s="1094">
        <f t="shared" si="2"/>
        <v>145104.96</v>
      </c>
      <c r="I129" s="1094">
        <f t="shared" si="3"/>
        <v>1741259.52</v>
      </c>
      <c r="J129"/>
    </row>
    <row r="130" s="1025" customFormat="1" ht="15" spans="2:10">
      <c r="B130" s="1091" t="s">
        <v>164</v>
      </c>
      <c r="C130" s="1092">
        <v>453</v>
      </c>
      <c r="D130" s="667">
        <f t="shared" si="4"/>
        <v>0.77</v>
      </c>
      <c r="E130" s="1092">
        <f t="shared" si="0"/>
        <v>348.81</v>
      </c>
      <c r="F130" s="1041">
        <v>16</v>
      </c>
      <c r="G130" s="1093">
        <f t="shared" si="1"/>
        <v>5580.96</v>
      </c>
      <c r="H130" s="1094">
        <f t="shared" si="2"/>
        <v>145104.96</v>
      </c>
      <c r="I130" s="1094">
        <f t="shared" si="3"/>
        <v>1741259.52</v>
      </c>
      <c r="J130"/>
    </row>
    <row r="131" s="1025" customFormat="1" ht="15" spans="2:10">
      <c r="B131" s="1091" t="s">
        <v>165</v>
      </c>
      <c r="C131" s="1092">
        <v>6</v>
      </c>
      <c r="D131" s="667">
        <f t="shared" si="4"/>
        <v>0.77</v>
      </c>
      <c r="E131" s="1092">
        <f t="shared" si="0"/>
        <v>4.62</v>
      </c>
      <c r="F131" s="1041">
        <v>16</v>
      </c>
      <c r="G131" s="1093">
        <f t="shared" si="1"/>
        <v>73.92</v>
      </c>
      <c r="H131" s="1094">
        <f t="shared" si="2"/>
        <v>1921.92</v>
      </c>
      <c r="I131" s="1094">
        <f t="shared" si="3"/>
        <v>23063.04</v>
      </c>
      <c r="J131"/>
    </row>
    <row r="132" s="1025" customFormat="1" ht="15" spans="2:10">
      <c r="B132" s="1091" t="s">
        <v>163</v>
      </c>
      <c r="C132" s="1092">
        <v>5</v>
      </c>
      <c r="D132" s="667">
        <f t="shared" si="4"/>
        <v>0.77</v>
      </c>
      <c r="E132" s="1092">
        <f t="shared" si="0"/>
        <v>3.85</v>
      </c>
      <c r="F132" s="1041">
        <v>16</v>
      </c>
      <c r="G132" s="1093">
        <f t="shared" si="1"/>
        <v>61.6</v>
      </c>
      <c r="H132" s="1094">
        <f t="shared" si="2"/>
        <v>1601.6</v>
      </c>
      <c r="I132" s="1094">
        <f t="shared" si="3"/>
        <v>19219.2</v>
      </c>
      <c r="J132"/>
    </row>
    <row r="133" s="1025" customFormat="1" ht="15" spans="2:10">
      <c r="B133" s="1091" t="s">
        <v>166</v>
      </c>
      <c r="C133" s="1092">
        <v>5</v>
      </c>
      <c r="D133" s="667">
        <f t="shared" si="4"/>
        <v>0.77</v>
      </c>
      <c r="E133" s="1092">
        <f t="shared" si="0"/>
        <v>3.85</v>
      </c>
      <c r="F133" s="1041">
        <v>16</v>
      </c>
      <c r="G133" s="1093">
        <f t="shared" si="1"/>
        <v>61.6</v>
      </c>
      <c r="H133" s="1094">
        <f t="shared" si="2"/>
        <v>1601.6</v>
      </c>
      <c r="I133" s="1094">
        <f t="shared" si="3"/>
        <v>19219.2</v>
      </c>
      <c r="J133"/>
    </row>
    <row r="134" s="1025" customFormat="1" ht="15" spans="2:10">
      <c r="B134" s="1091" t="s">
        <v>167</v>
      </c>
      <c r="C134" s="1092">
        <v>32</v>
      </c>
      <c r="D134" s="667">
        <f t="shared" si="4"/>
        <v>0.77</v>
      </c>
      <c r="E134" s="1092">
        <f t="shared" si="0"/>
        <v>24.64</v>
      </c>
      <c r="F134" s="1041">
        <v>16</v>
      </c>
      <c r="G134" s="1093">
        <f t="shared" si="1"/>
        <v>394.24</v>
      </c>
      <c r="H134" s="1094">
        <f t="shared" si="2"/>
        <v>10250.24</v>
      </c>
      <c r="I134" s="1094">
        <f t="shared" si="3"/>
        <v>123002.88</v>
      </c>
      <c r="J134"/>
    </row>
    <row r="135" s="1025" customFormat="1" ht="15" spans="2:10">
      <c r="B135" s="1091" t="s">
        <v>168</v>
      </c>
      <c r="C135" s="1092">
        <v>32</v>
      </c>
      <c r="D135" s="667">
        <f t="shared" si="4"/>
        <v>0.77</v>
      </c>
      <c r="E135" s="1092">
        <f t="shared" si="0"/>
        <v>24.64</v>
      </c>
      <c r="F135" s="1041">
        <v>16</v>
      </c>
      <c r="G135" s="1093">
        <f t="shared" si="1"/>
        <v>394.24</v>
      </c>
      <c r="H135" s="1094">
        <f t="shared" si="2"/>
        <v>10250.24</v>
      </c>
      <c r="I135" s="1094">
        <f t="shared" si="3"/>
        <v>123002.88</v>
      </c>
      <c r="J135"/>
    </row>
    <row r="136" s="1025" customFormat="1" ht="15" spans="2:10">
      <c r="B136" s="1091" t="s">
        <v>169</v>
      </c>
      <c r="C136" s="1092">
        <v>32</v>
      </c>
      <c r="D136" s="667">
        <f t="shared" si="4"/>
        <v>0.77</v>
      </c>
      <c r="E136" s="1092">
        <f t="shared" si="0"/>
        <v>24.64</v>
      </c>
      <c r="F136" s="1041">
        <v>16</v>
      </c>
      <c r="G136" s="1093">
        <f t="shared" si="1"/>
        <v>394.24</v>
      </c>
      <c r="H136" s="1094">
        <f t="shared" si="2"/>
        <v>10250.24</v>
      </c>
      <c r="I136" s="1094">
        <f t="shared" si="3"/>
        <v>123002.88</v>
      </c>
      <c r="J136"/>
    </row>
    <row r="137" s="1025" customFormat="1" ht="15" spans="2:11">
      <c r="B137" s="702" t="s">
        <v>170</v>
      </c>
      <c r="C137" s="703"/>
      <c r="D137" s="703"/>
      <c r="E137" s="703"/>
      <c r="F137" s="703"/>
      <c r="G137" s="704"/>
      <c r="H137" s="1096">
        <f>+SUM(H86:H136)</f>
        <v>458377.92</v>
      </c>
      <c r="I137" s="1122">
        <f>+SUM(I86:I136)</f>
        <v>5500535.04</v>
      </c>
      <c r="J137"/>
      <c r="K137" s="1123"/>
    </row>
    <row r="138" s="1025" customFormat="1" ht="15" spans="2:10">
      <c r="B138" t="s">
        <v>171</v>
      </c>
      <c r="C138" s="322">
        <f>+SUM(C86:C136)</f>
        <v>1431</v>
      </c>
      <c r="D138"/>
      <c r="E138">
        <f>+SUM(E86:E136)</f>
        <v>1101.87</v>
      </c>
      <c r="F138"/>
      <c r="G138"/>
      <c r="H138"/>
      <c r="I138"/>
      <c r="J138"/>
    </row>
    <row r="139" s="1025" customFormat="1" ht="15" spans="2:10">
      <c r="B139" s="183" t="s">
        <v>172</v>
      </c>
      <c r="D139"/>
      <c r="F139"/>
      <c r="G139"/>
      <c r="H139"/>
      <c r="I139"/>
      <c r="J139"/>
    </row>
    <row r="140" s="1025" customFormat="1" ht="15" spans="3:10">
      <c r="C140" s="1035"/>
      <c r="D140" s="1035"/>
      <c r="E140" s="1035"/>
      <c r="F140" s="1035"/>
      <c r="G140" s="1035"/>
      <c r="H140"/>
      <c r="I140"/>
      <c r="J140"/>
    </row>
    <row r="141" customFormat="1" ht="15" spans="2:7">
      <c r="B141" s="183" t="s">
        <v>173</v>
      </c>
      <c r="G141" s="183" t="s">
        <v>174</v>
      </c>
    </row>
    <row r="142" customFormat="1" ht="15.75" spans="2:10">
      <c r="B142" s="1097" t="s">
        <v>175</v>
      </c>
      <c r="C142" s="1098"/>
      <c r="D142" s="1098"/>
      <c r="G142" s="1099" t="s">
        <v>176</v>
      </c>
      <c r="H142" s="626"/>
      <c r="I142" s="626"/>
      <c r="J142" s="626"/>
    </row>
    <row r="143" customFormat="1" ht="25.5" spans="2:4">
      <c r="B143" s="1100" t="s">
        <v>177</v>
      </c>
      <c r="C143" s="1101">
        <v>0.5</v>
      </c>
      <c r="D143" s="1102" t="s">
        <v>178</v>
      </c>
    </row>
    <row r="144" customFormat="1" ht="25.5" spans="2:10">
      <c r="B144" s="1100" t="s">
        <v>179</v>
      </c>
      <c r="C144" s="1101">
        <v>500</v>
      </c>
      <c r="D144" s="1102" t="s">
        <v>180</v>
      </c>
      <c r="G144" s="1103" t="s">
        <v>181</v>
      </c>
      <c r="H144" s="1104">
        <v>0.134405921598086</v>
      </c>
      <c r="I144" s="1100" t="s">
        <v>182</v>
      </c>
      <c r="J144" s="1105">
        <v>150</v>
      </c>
    </row>
    <row r="145" customFormat="1" ht="25.5" spans="2:10">
      <c r="B145" s="1100" t="s">
        <v>183</v>
      </c>
      <c r="C145" s="1105">
        <v>700</v>
      </c>
      <c r="D145" s="1102" t="s">
        <v>180</v>
      </c>
      <c r="G145" s="1103" t="s">
        <v>184</v>
      </c>
      <c r="H145" s="1104">
        <v>0.41806475304005</v>
      </c>
      <c r="I145" s="1100" t="s">
        <v>185</v>
      </c>
      <c r="J145" s="1105">
        <v>300</v>
      </c>
    </row>
    <row r="146" customFormat="1" ht="15" spans="2:10">
      <c r="B146" s="1100" t="s">
        <v>186</v>
      </c>
      <c r="C146" s="1106">
        <v>1700</v>
      </c>
      <c r="D146" s="1102" t="s">
        <v>180</v>
      </c>
      <c r="G146" t="s">
        <v>187</v>
      </c>
      <c r="H146" s="1107"/>
      <c r="I146" s="1107"/>
      <c r="J146" s="1107"/>
    </row>
    <row r="147" customFormat="1" ht="15" spans="2:4">
      <c r="B147" s="1100" t="s">
        <v>188</v>
      </c>
      <c r="C147" s="1108">
        <v>0.15</v>
      </c>
      <c r="D147" s="1102" t="s">
        <v>178</v>
      </c>
    </row>
    <row r="148" customFormat="1" ht="25.5" spans="2:4">
      <c r="B148" s="1100" t="s">
        <v>189</v>
      </c>
      <c r="C148" s="1108">
        <v>1.25</v>
      </c>
      <c r="D148" s="1102"/>
    </row>
    <row r="149" customFormat="1" ht="15" spans="2:4">
      <c r="B149" s="1100" t="s">
        <v>190</v>
      </c>
      <c r="C149" s="1102">
        <f>1/0.99</f>
        <v>1.01010101010101</v>
      </c>
      <c r="D149" s="1102"/>
    </row>
    <row r="150" customFormat="1" ht="15" spans="2:4">
      <c r="B150" t="s">
        <v>187</v>
      </c>
      <c r="C150" s="1109"/>
      <c r="D150" s="1109"/>
    </row>
    <row r="151" customFormat="1" ht="15" spans="2:4">
      <c r="B151" s="1110"/>
      <c r="C151" s="1109"/>
      <c r="D151" s="1109"/>
    </row>
    <row r="152" customFormat="1" ht="15" spans="2:2">
      <c r="B152" s="183" t="s">
        <v>191</v>
      </c>
    </row>
    <row r="153" customFormat="1" ht="15" spans="2:3">
      <c r="B153" s="1111" t="s">
        <v>192</v>
      </c>
      <c r="C153" s="1112"/>
    </row>
    <row r="154" customFormat="1" ht="15" spans="2:3">
      <c r="B154" s="1100" t="s">
        <v>193</v>
      </c>
      <c r="C154" s="1113">
        <f>+D24</f>
        <v>23.72</v>
      </c>
    </row>
    <row r="155" customFormat="1" ht="15" spans="2:3">
      <c r="B155" s="1100" t="s">
        <v>194</v>
      </c>
      <c r="C155" s="1114">
        <f>+D25</f>
        <v>22.34</v>
      </c>
    </row>
    <row r="156" customFormat="1" ht="15" spans="2:3">
      <c r="B156" t="s">
        <v>28</v>
      </c>
      <c r="C156" s="383"/>
    </row>
    <row r="157" s="1025" customFormat="1" ht="15" spans="2:11">
      <c r="B157"/>
      <c r="C157"/>
      <c r="D157"/>
      <c r="E157"/>
      <c r="F157"/>
      <c r="G157"/>
      <c r="H157"/>
      <c r="I157"/>
      <c r="J157"/>
      <c r="K157"/>
    </row>
    <row r="158" s="1025" customFormat="1" ht="15" spans="2:9">
      <c r="B158" s="183" t="s">
        <v>195</v>
      </c>
      <c r="C158"/>
      <c r="D158"/>
      <c r="E158"/>
      <c r="F158"/>
      <c r="G158"/>
      <c r="H158" s="605"/>
      <c r="I158"/>
    </row>
    <row r="159" s="1025" customFormat="1" ht="15" spans="2:9">
      <c r="B159" s="1111" t="s">
        <v>196</v>
      </c>
      <c r="C159" s="1112"/>
      <c r="D159"/>
      <c r="E159"/>
      <c r="F159"/>
      <c r="G159"/>
      <c r="H159" s="1115"/>
      <c r="I159"/>
    </row>
    <row r="160" s="1025" customFormat="1" ht="15" spans="2:9">
      <c r="B160" s="1100" t="s">
        <v>197</v>
      </c>
      <c r="C160" s="1116">
        <v>19.88</v>
      </c>
      <c r="D160"/>
      <c r="E160"/>
      <c r="F160"/>
      <c r="G160"/>
      <c r="H160" s="605"/>
      <c r="I160"/>
    </row>
    <row r="161" s="1025" customFormat="1" ht="14.7" customHeight="1" spans="2:9">
      <c r="B161" t="s">
        <v>198</v>
      </c>
      <c r="C161"/>
      <c r="D161"/>
      <c r="E161"/>
      <c r="F161"/>
      <c r="G161"/>
      <c r="H161" s="605"/>
      <c r="I161"/>
    </row>
    <row r="162" s="1025" customFormat="1" ht="15" spans="2:9">
      <c r="B162"/>
      <c r="C162"/>
      <c r="D162"/>
      <c r="E162"/>
      <c r="F162"/>
      <c r="G162"/>
      <c r="H162" s="605"/>
      <c r="I162"/>
    </row>
    <row r="163" s="1025" customFormat="1" ht="15" spans="2:9">
      <c r="B163" t="s">
        <v>199</v>
      </c>
      <c r="C163"/>
      <c r="D163"/>
      <c r="E163"/>
      <c r="F163"/>
      <c r="G163"/>
      <c r="H163" s="1115"/>
      <c r="I163"/>
    </row>
    <row r="164" s="1025" customFormat="1" ht="15" spans="2:9">
      <c r="B164" s="1117" t="s">
        <v>200</v>
      </c>
      <c r="C164" s="806" t="s">
        <v>201</v>
      </c>
      <c r="D164" s="806"/>
      <c r="E164" s="806"/>
      <c r="F164"/>
      <c r="G164"/>
      <c r="H164" s="1115"/>
      <c r="I164"/>
    </row>
    <row r="165" s="1025" customFormat="1" ht="15" spans="2:9">
      <c r="B165" s="1118"/>
      <c r="C165" s="806" t="s">
        <v>202</v>
      </c>
      <c r="D165" s="806" t="s">
        <v>203</v>
      </c>
      <c r="E165" s="806" t="s">
        <v>204</v>
      </c>
      <c r="F165"/>
      <c r="G165"/>
      <c r="H165"/>
      <c r="I165"/>
    </row>
    <row r="166" s="1025" customFormat="1" ht="15" spans="2:9">
      <c r="B166" s="487">
        <v>2020</v>
      </c>
      <c r="C166" s="1119">
        <v>40</v>
      </c>
      <c r="D166" s="1119">
        <v>80</v>
      </c>
      <c r="E166" s="1120">
        <f>+AVERAGE(C166:D166)</f>
        <v>60</v>
      </c>
      <c r="F166"/>
      <c r="G166"/>
      <c r="H166"/>
      <c r="I166"/>
    </row>
    <row r="167" s="1025" customFormat="1" ht="15" spans="2:9">
      <c r="B167" s="487">
        <v>2021</v>
      </c>
      <c r="C167" s="487">
        <v>41</v>
      </c>
      <c r="D167" s="487">
        <v>81</v>
      </c>
      <c r="E167" s="1121">
        <f t="shared" ref="E167:E188" si="5">+AVERAGE(C167:D167)</f>
        <v>61</v>
      </c>
      <c r="F167"/>
      <c r="G167"/>
      <c r="H167"/>
      <c r="I167"/>
    </row>
    <row r="168" s="1025" customFormat="1" ht="15" spans="2:9">
      <c r="B168" s="487">
        <v>2022</v>
      </c>
      <c r="C168" s="487">
        <v>42</v>
      </c>
      <c r="D168" s="487">
        <v>82</v>
      </c>
      <c r="E168" s="1121">
        <f t="shared" si="5"/>
        <v>62</v>
      </c>
      <c r="F168"/>
      <c r="G168"/>
      <c r="H168"/>
      <c r="I168"/>
    </row>
    <row r="169" s="1025" customFormat="1" ht="15" spans="2:9">
      <c r="B169" s="487">
        <v>2023</v>
      </c>
      <c r="C169" s="487">
        <v>43</v>
      </c>
      <c r="D169" s="487">
        <v>83</v>
      </c>
      <c r="E169" s="1121">
        <f t="shared" si="5"/>
        <v>63</v>
      </c>
      <c r="F169"/>
      <c r="G169"/>
      <c r="H169"/>
      <c r="I169"/>
    </row>
    <row r="170" s="1025" customFormat="1" ht="15" spans="2:9">
      <c r="B170" s="487">
        <v>2024</v>
      </c>
      <c r="C170" s="487">
        <v>44</v>
      </c>
      <c r="D170" s="487">
        <v>84</v>
      </c>
      <c r="E170" s="1121">
        <f t="shared" si="5"/>
        <v>64</v>
      </c>
      <c r="F170"/>
      <c r="G170"/>
      <c r="H170"/>
      <c r="I170"/>
    </row>
    <row r="171" s="1025" customFormat="1" ht="15" spans="2:9">
      <c r="B171" s="487">
        <v>2025</v>
      </c>
      <c r="C171" s="487">
        <v>45</v>
      </c>
      <c r="D171" s="487">
        <v>85</v>
      </c>
      <c r="E171" s="1121">
        <f t="shared" si="5"/>
        <v>65</v>
      </c>
      <c r="F171"/>
      <c r="G171"/>
      <c r="H171"/>
      <c r="I171"/>
    </row>
    <row r="172" s="1025" customFormat="1" ht="15" spans="2:9">
      <c r="B172" s="487">
        <v>2026</v>
      </c>
      <c r="C172" s="487">
        <v>46</v>
      </c>
      <c r="D172" s="487">
        <v>86</v>
      </c>
      <c r="E172" s="1121">
        <f t="shared" si="5"/>
        <v>66</v>
      </c>
      <c r="F172"/>
      <c r="G172"/>
      <c r="H172"/>
      <c r="I172"/>
    </row>
    <row r="173" s="1025" customFormat="1" ht="15" spans="2:9">
      <c r="B173" s="487">
        <v>2027</v>
      </c>
      <c r="C173" s="487">
        <v>47</v>
      </c>
      <c r="D173" s="487">
        <v>87</v>
      </c>
      <c r="E173" s="1121">
        <f t="shared" si="5"/>
        <v>67</v>
      </c>
      <c r="F173"/>
      <c r="G173"/>
      <c r="H173"/>
      <c r="I173"/>
    </row>
    <row r="174" s="1025" customFormat="1" ht="15" spans="2:9">
      <c r="B174" s="487">
        <v>2028</v>
      </c>
      <c r="C174" s="487">
        <v>48</v>
      </c>
      <c r="D174" s="487">
        <v>88</v>
      </c>
      <c r="E174" s="1121">
        <f t="shared" si="5"/>
        <v>68</v>
      </c>
      <c r="F174"/>
      <c r="G174"/>
      <c r="H174"/>
      <c r="I174"/>
    </row>
    <row r="175" s="1025" customFormat="1" ht="15" spans="2:9">
      <c r="B175" s="487">
        <v>2029</v>
      </c>
      <c r="C175" s="487">
        <v>49</v>
      </c>
      <c r="D175" s="487">
        <v>89</v>
      </c>
      <c r="E175" s="1121">
        <f t="shared" si="5"/>
        <v>69</v>
      </c>
      <c r="F175"/>
      <c r="G175"/>
      <c r="H175"/>
      <c r="I175"/>
    </row>
    <row r="176" s="1025" customFormat="1" ht="15" spans="2:9">
      <c r="B176" s="487">
        <v>2030</v>
      </c>
      <c r="C176" s="1119">
        <v>50</v>
      </c>
      <c r="D176" s="1119">
        <v>90</v>
      </c>
      <c r="E176" s="1120">
        <f t="shared" si="5"/>
        <v>70</v>
      </c>
      <c r="F176"/>
      <c r="G176"/>
      <c r="H176"/>
      <c r="I176"/>
    </row>
    <row r="177" s="1025" customFormat="1" ht="15" spans="2:9">
      <c r="B177" s="487">
        <v>2031</v>
      </c>
      <c r="C177" s="1121">
        <f>+C176*1.0225</f>
        <v>51.125</v>
      </c>
      <c r="D177" s="1121">
        <f>+D176*1.0225</f>
        <v>92.025</v>
      </c>
      <c r="E177" s="1121">
        <f t="shared" si="5"/>
        <v>71.575</v>
      </c>
      <c r="F177"/>
      <c r="G177"/>
      <c r="H177"/>
      <c r="I177"/>
    </row>
    <row r="178" s="1025" customFormat="1" ht="15" spans="2:9">
      <c r="B178" s="487">
        <v>2032</v>
      </c>
      <c r="C178" s="1121">
        <f t="shared" ref="C178:D188" si="6">+C177*1.0225</f>
        <v>52.2753125</v>
      </c>
      <c r="D178" s="1121">
        <f t="shared" si="6"/>
        <v>94.0955625</v>
      </c>
      <c r="E178" s="1121">
        <f t="shared" si="5"/>
        <v>73.1854375</v>
      </c>
      <c r="F178"/>
      <c r="G178"/>
      <c r="H178"/>
      <c r="I178"/>
    </row>
    <row r="179" s="1025" customFormat="1" ht="15" spans="2:9">
      <c r="B179" s="487">
        <v>2033</v>
      </c>
      <c r="C179" s="1121">
        <f t="shared" si="6"/>
        <v>53.45150703125</v>
      </c>
      <c r="D179" s="1121">
        <f t="shared" si="6"/>
        <v>96.21271265625</v>
      </c>
      <c r="E179" s="1121">
        <f t="shared" si="5"/>
        <v>74.83210984375</v>
      </c>
      <c r="F179"/>
      <c r="G179"/>
      <c r="H179"/>
      <c r="I179"/>
    </row>
    <row r="180" s="1025" customFormat="1" ht="15" spans="2:9">
      <c r="B180" s="487">
        <v>2034</v>
      </c>
      <c r="C180" s="1121">
        <f t="shared" si="6"/>
        <v>54.6541659394531</v>
      </c>
      <c r="D180" s="1121">
        <f t="shared" si="6"/>
        <v>98.3774986910156</v>
      </c>
      <c r="E180" s="1121">
        <f t="shared" si="5"/>
        <v>76.5158323152344</v>
      </c>
      <c r="F180"/>
      <c r="G180"/>
      <c r="H180"/>
      <c r="I180"/>
    </row>
    <row r="181" s="1025" customFormat="1" ht="15" spans="2:9">
      <c r="B181" s="487">
        <v>2035</v>
      </c>
      <c r="C181" s="1121">
        <f t="shared" si="6"/>
        <v>55.8838846730908</v>
      </c>
      <c r="D181" s="1121">
        <f t="shared" si="6"/>
        <v>100.590992411563</v>
      </c>
      <c r="E181" s="1121">
        <f t="shared" si="5"/>
        <v>78.2374385423271</v>
      </c>
      <c r="F181"/>
      <c r="G181"/>
      <c r="H181"/>
      <c r="I181"/>
    </row>
    <row r="182" s="1025" customFormat="1" ht="15" spans="2:9">
      <c r="B182" s="487">
        <v>2036</v>
      </c>
      <c r="C182" s="1121">
        <f t="shared" si="6"/>
        <v>57.1412720782354</v>
      </c>
      <c r="D182" s="1121">
        <f t="shared" si="6"/>
        <v>102.854289740824</v>
      </c>
      <c r="E182" s="1121">
        <f t="shared" si="5"/>
        <v>79.9977809095295</v>
      </c>
      <c r="F182"/>
      <c r="G182"/>
      <c r="H182"/>
      <c r="I182"/>
    </row>
    <row r="183" s="1025" customFormat="1" ht="15" spans="2:9">
      <c r="B183" s="487">
        <v>2037</v>
      </c>
      <c r="C183" s="1121">
        <f t="shared" si="6"/>
        <v>58.4269506999957</v>
      </c>
      <c r="D183" s="1121">
        <f t="shared" si="6"/>
        <v>105.168511259992</v>
      </c>
      <c r="E183" s="1121">
        <f t="shared" si="5"/>
        <v>81.7977309799939</v>
      </c>
      <c r="F183"/>
      <c r="G183"/>
      <c r="H183"/>
      <c r="I183"/>
    </row>
    <row r="184" s="1025" customFormat="1" ht="15" spans="2:9">
      <c r="B184" s="487">
        <v>2038</v>
      </c>
      <c r="C184" s="1121">
        <f t="shared" si="6"/>
        <v>59.7415570907456</v>
      </c>
      <c r="D184" s="1121">
        <f t="shared" si="6"/>
        <v>107.534802763342</v>
      </c>
      <c r="E184" s="1121">
        <f t="shared" si="5"/>
        <v>83.6381799270438</v>
      </c>
      <c r="F184"/>
      <c r="G184"/>
      <c r="H184"/>
      <c r="I184"/>
    </row>
    <row r="185" s="1025" customFormat="1" ht="15" spans="2:9">
      <c r="B185" s="487">
        <v>2039</v>
      </c>
      <c r="C185" s="1121">
        <f t="shared" si="6"/>
        <v>61.0857421252873</v>
      </c>
      <c r="D185" s="1121">
        <f t="shared" si="6"/>
        <v>109.954335825517</v>
      </c>
      <c r="E185" s="1121">
        <f t="shared" si="5"/>
        <v>85.5200389754022</v>
      </c>
      <c r="F185"/>
      <c r="G185"/>
      <c r="H185"/>
      <c r="I185"/>
    </row>
    <row r="186" s="1025" customFormat="1" ht="15" spans="2:9">
      <c r="B186" s="487">
        <v>2040</v>
      </c>
      <c r="C186" s="1121">
        <f t="shared" si="6"/>
        <v>62.4601713231063</v>
      </c>
      <c r="D186" s="1121">
        <f t="shared" si="6"/>
        <v>112.428308381591</v>
      </c>
      <c r="E186" s="1121">
        <f t="shared" si="5"/>
        <v>87.4442398523488</v>
      </c>
      <c r="F186"/>
      <c r="G186"/>
      <c r="H186"/>
      <c r="I186"/>
    </row>
    <row r="187" s="1025" customFormat="1" ht="15" spans="2:9">
      <c r="B187" s="487">
        <v>2041</v>
      </c>
      <c r="C187" s="1121">
        <f t="shared" si="6"/>
        <v>63.8655251778762</v>
      </c>
      <c r="D187" s="1121">
        <f t="shared" si="6"/>
        <v>114.957945320177</v>
      </c>
      <c r="E187" s="1121">
        <f t="shared" si="5"/>
        <v>89.4117352490266</v>
      </c>
      <c r="F187"/>
      <c r="G187"/>
      <c r="H187"/>
      <c r="I187"/>
    </row>
    <row r="188" s="1025" customFormat="1" ht="15" spans="2:9">
      <c r="B188" s="487">
        <v>2042</v>
      </c>
      <c r="C188" s="1121">
        <f t="shared" si="6"/>
        <v>65.3024994943784</v>
      </c>
      <c r="D188" s="1121">
        <f t="shared" si="6"/>
        <v>117.544499089881</v>
      </c>
      <c r="E188" s="1121">
        <f t="shared" si="5"/>
        <v>91.4234992921297</v>
      </c>
      <c r="F188"/>
      <c r="G188"/>
      <c r="H188"/>
      <c r="I188"/>
    </row>
    <row r="189" s="1025" customFormat="1" ht="15" spans="2:9">
      <c r="B189" s="487">
        <v>2043</v>
      </c>
      <c r="C189" s="1121">
        <f t="shared" ref="C189:D189" si="7">+C188*1.0225</f>
        <v>66.7718057330019</v>
      </c>
      <c r="D189" s="1121">
        <f t="shared" si="7"/>
        <v>120.189250319403</v>
      </c>
      <c r="E189" s="1121">
        <f t="shared" ref="E189:E199" si="8">+AVERAGE(C189:D189)</f>
        <v>93.4805280262026</v>
      </c>
      <c r="F189"/>
      <c r="G189"/>
      <c r="H189"/>
      <c r="I189"/>
    </row>
    <row r="190" s="1025" customFormat="1" ht="15" spans="2:9">
      <c r="B190" s="487">
        <v>2044</v>
      </c>
      <c r="C190" s="1121">
        <f t="shared" ref="C190:D190" si="9">+C189*1.0225</f>
        <v>68.2741713619944</v>
      </c>
      <c r="D190" s="1121">
        <f t="shared" si="9"/>
        <v>122.89350845159</v>
      </c>
      <c r="E190" s="1121">
        <f t="shared" si="8"/>
        <v>95.5838399067922</v>
      </c>
      <c r="F190"/>
      <c r="G190"/>
      <c r="H190"/>
      <c r="I190"/>
    </row>
    <row r="191" s="1025" customFormat="1" ht="15" spans="2:9">
      <c r="B191" s="487">
        <v>2045</v>
      </c>
      <c r="C191" s="1121">
        <f t="shared" ref="C191:D191" si="10">+C190*1.0225</f>
        <v>69.8103402176393</v>
      </c>
      <c r="D191" s="1121">
        <f t="shared" si="10"/>
        <v>125.658612391751</v>
      </c>
      <c r="E191" s="1121">
        <f t="shared" si="8"/>
        <v>97.734476304695</v>
      </c>
      <c r="F191"/>
      <c r="G191"/>
      <c r="H191"/>
      <c r="I191"/>
    </row>
    <row r="192" s="1025" customFormat="1" ht="15" spans="2:9">
      <c r="B192" s="487">
        <v>2046</v>
      </c>
      <c r="C192" s="1121">
        <f t="shared" ref="C192:D192" si="11">+C191*1.0225</f>
        <v>71.3810728725362</v>
      </c>
      <c r="D192" s="1121">
        <f t="shared" si="11"/>
        <v>128.485931170565</v>
      </c>
      <c r="E192" s="1121">
        <f t="shared" si="8"/>
        <v>99.9335020215507</v>
      </c>
      <c r="F192"/>
      <c r="G192"/>
      <c r="H192"/>
      <c r="I192"/>
    </row>
    <row r="193" s="1025" customFormat="1" ht="15" spans="2:9">
      <c r="B193" s="487">
        <v>2047</v>
      </c>
      <c r="C193" s="1121">
        <f t="shared" ref="C193:D193" si="12">+C192*1.0225</f>
        <v>72.9871470121683</v>
      </c>
      <c r="D193" s="1121">
        <f t="shared" si="12"/>
        <v>131.376864621903</v>
      </c>
      <c r="E193" s="1121">
        <f t="shared" si="8"/>
        <v>102.182005817036</v>
      </c>
      <c r="F193"/>
      <c r="G193"/>
      <c r="H193"/>
      <c r="I193"/>
    </row>
    <row r="194" s="1025" customFormat="1" ht="15" spans="2:9">
      <c r="B194" s="487">
        <v>2048</v>
      </c>
      <c r="C194" s="1121">
        <f t="shared" ref="C194:D194" si="13">+C193*1.0225</f>
        <v>74.629357819942</v>
      </c>
      <c r="D194" s="1121">
        <f t="shared" si="13"/>
        <v>134.332844075896</v>
      </c>
      <c r="E194" s="1121">
        <f t="shared" si="8"/>
        <v>104.481100947919</v>
      </c>
      <c r="F194"/>
      <c r="G194"/>
      <c r="H194"/>
      <c r="I194"/>
    </row>
    <row r="195" s="1025" customFormat="1" ht="15" spans="2:9">
      <c r="B195" s="487">
        <v>2049</v>
      </c>
      <c r="C195" s="1121">
        <f t="shared" ref="C195:D195" si="14">+C194*1.0225</f>
        <v>76.3085183708907</v>
      </c>
      <c r="D195" s="1121">
        <f t="shared" si="14"/>
        <v>137.355333067603</v>
      </c>
      <c r="E195" s="1121">
        <f t="shared" si="8"/>
        <v>106.831925719247</v>
      </c>
      <c r="F195"/>
      <c r="G195"/>
      <c r="H195"/>
      <c r="I195"/>
    </row>
    <row r="196" s="1025" customFormat="1" ht="15" spans="2:9">
      <c r="B196" s="487">
        <v>2050</v>
      </c>
      <c r="C196" s="1121">
        <f t="shared" ref="C196:D196" si="15">+C195*1.0225</f>
        <v>78.0254600342358</v>
      </c>
      <c r="D196" s="1121">
        <f t="shared" si="15"/>
        <v>140.445828061624</v>
      </c>
      <c r="E196" s="1121">
        <f t="shared" si="8"/>
        <v>109.23564404793</v>
      </c>
      <c r="F196"/>
      <c r="G196"/>
      <c r="H196"/>
      <c r="I196"/>
    </row>
    <row r="197" s="1025" customFormat="1" ht="15" spans="2:9">
      <c r="B197" s="487">
        <v>2051</v>
      </c>
      <c r="C197" s="1121">
        <f t="shared" ref="C197:D197" si="16">+C196*1.0225</f>
        <v>79.7810328850061</v>
      </c>
      <c r="D197" s="1121">
        <f t="shared" si="16"/>
        <v>143.605859193011</v>
      </c>
      <c r="E197" s="1121">
        <f t="shared" si="8"/>
        <v>111.693446039008</v>
      </c>
      <c r="F197"/>
      <c r="G197"/>
      <c r="H197"/>
      <c r="I197"/>
    </row>
    <row r="198" s="1025" customFormat="1" ht="15" spans="2:9">
      <c r="B198" s="487">
        <v>2052</v>
      </c>
      <c r="C198" s="1121">
        <f t="shared" ref="C198:D198" si="17">+C197*1.0225</f>
        <v>81.5761061249187</v>
      </c>
      <c r="D198" s="1121">
        <f t="shared" si="17"/>
        <v>146.836991024854</v>
      </c>
      <c r="E198" s="1121">
        <f t="shared" si="8"/>
        <v>114.206548574886</v>
      </c>
      <c r="F198"/>
      <c r="G198"/>
      <c r="H198"/>
      <c r="I198"/>
    </row>
    <row r="199" s="1025" customFormat="1" ht="15" spans="2:9">
      <c r="B199" s="487">
        <v>2053</v>
      </c>
      <c r="C199" s="1121">
        <f t="shared" ref="C199:D199" si="18">+C198*1.0225</f>
        <v>83.4115685127294</v>
      </c>
      <c r="D199" s="1121">
        <f t="shared" si="18"/>
        <v>150.140823322913</v>
      </c>
      <c r="E199" s="1121">
        <f t="shared" si="8"/>
        <v>116.776195917821</v>
      </c>
      <c r="F199"/>
      <c r="G199"/>
      <c r="H199"/>
      <c r="I199"/>
    </row>
    <row r="200" s="1025" customFormat="1" ht="15" spans="2:9">
      <c r="B200" s="487">
        <v>2054</v>
      </c>
      <c r="C200" s="1121">
        <f t="shared" ref="C200:D200" si="19">+C199*1.0225</f>
        <v>85.2883288042658</v>
      </c>
      <c r="D200" s="1121">
        <f t="shared" si="19"/>
        <v>153.518991847678</v>
      </c>
      <c r="E200" s="1121">
        <f t="shared" ref="E200:E203" si="20">+AVERAGE(C200:D200)</f>
        <v>119.403660325972</v>
      </c>
      <c r="F200"/>
      <c r="G200"/>
      <c r="H200"/>
      <c r="I200"/>
    </row>
    <row r="201" s="1025" customFormat="1" ht="15" spans="2:9">
      <c r="B201" s="487">
        <v>2055</v>
      </c>
      <c r="C201" s="1121">
        <f t="shared" ref="C201:D201" si="21">+C200*1.0225</f>
        <v>87.2073162023618</v>
      </c>
      <c r="D201" s="1121">
        <f t="shared" si="21"/>
        <v>156.973169164251</v>
      </c>
      <c r="E201" s="1121">
        <f t="shared" si="20"/>
        <v>122.090242683306</v>
      </c>
      <c r="F201"/>
      <c r="G201"/>
      <c r="H201"/>
      <c r="I201"/>
    </row>
    <row r="202" s="1025" customFormat="1" ht="15" spans="2:9">
      <c r="B202" s="487">
        <v>2056</v>
      </c>
      <c r="C202" s="1121">
        <f t="shared" ref="C202:D202" si="22">+C201*1.0225</f>
        <v>89.1694808169149</v>
      </c>
      <c r="D202" s="1121">
        <f t="shared" si="22"/>
        <v>160.505065470447</v>
      </c>
      <c r="E202" s="1121">
        <f t="shared" si="20"/>
        <v>124.837273143681</v>
      </c>
      <c r="F202"/>
      <c r="G202"/>
      <c r="H202"/>
      <c r="I202"/>
    </row>
    <row r="203" s="1025" customFormat="1" ht="15" spans="2:9">
      <c r="B203" s="487">
        <v>2057</v>
      </c>
      <c r="C203" s="1121">
        <f t="shared" ref="C203:D203" si="23">+C202*1.0225</f>
        <v>91.1757941352955</v>
      </c>
      <c r="D203" s="1121">
        <f t="shared" si="23"/>
        <v>164.116429443532</v>
      </c>
      <c r="E203" s="1121">
        <f t="shared" si="20"/>
        <v>127.646111789414</v>
      </c>
      <c r="F203"/>
      <c r="G203"/>
      <c r="H203"/>
      <c r="I203"/>
    </row>
    <row r="204" s="1025" customFormat="1" ht="15" spans="2:9">
      <c r="B204" s="487">
        <v>2058</v>
      </c>
      <c r="C204" s="1121">
        <f t="shared" ref="C204:D204" si="24">+C203*1.0225</f>
        <v>93.2272495033396</v>
      </c>
      <c r="D204" s="1121">
        <f t="shared" si="24"/>
        <v>167.809049106011</v>
      </c>
      <c r="E204" s="1121">
        <f t="shared" ref="E204:E207" si="25">+AVERAGE(C204:D204)</f>
        <v>130.518149304675</v>
      </c>
      <c r="F204"/>
      <c r="G204"/>
      <c r="H204"/>
      <c r="I204"/>
    </row>
    <row r="205" s="1025" customFormat="1" ht="15" spans="2:9">
      <c r="B205" s="487">
        <v>2059</v>
      </c>
      <c r="C205" s="1121">
        <f t="shared" ref="C205:D205" si="26">+C204*1.0225</f>
        <v>95.3248626171648</v>
      </c>
      <c r="D205" s="1121">
        <f t="shared" si="26"/>
        <v>171.584752710896</v>
      </c>
      <c r="E205" s="1121">
        <f t="shared" si="25"/>
        <v>133.454807664031</v>
      </c>
      <c r="F205"/>
      <c r="G205"/>
      <c r="H205"/>
      <c r="I205"/>
    </row>
    <row r="206" s="1025" customFormat="1" ht="15" spans="2:9">
      <c r="B206" s="487">
        <v>2060</v>
      </c>
      <c r="C206" s="1121">
        <f t="shared" ref="C206:D206" si="27">+C205*1.0225</f>
        <v>97.469672026051</v>
      </c>
      <c r="D206" s="1121">
        <f t="shared" si="27"/>
        <v>175.445409646892</v>
      </c>
      <c r="E206" s="1121">
        <f t="shared" si="25"/>
        <v>136.457540836471</v>
      </c>
      <c r="F206"/>
      <c r="G206"/>
      <c r="H206"/>
      <c r="I206"/>
    </row>
    <row r="207" s="1025" customFormat="1" ht="15" spans="2:9">
      <c r="B207" s="487">
        <v>2061</v>
      </c>
      <c r="C207" s="1121">
        <f t="shared" ref="C207:D207" si="28">+C206*1.0225</f>
        <v>99.6627396466371</v>
      </c>
      <c r="D207" s="1121">
        <f t="shared" si="28"/>
        <v>179.392931363947</v>
      </c>
      <c r="E207" s="1121">
        <f t="shared" si="25"/>
        <v>139.527835505292</v>
      </c>
      <c r="F207"/>
      <c r="G207"/>
      <c r="H207"/>
      <c r="I207"/>
    </row>
    <row r="208" s="1025" customFormat="1" ht="15" spans="2:9">
      <c r="B208" s="487">
        <v>2062</v>
      </c>
      <c r="C208" s="1121">
        <f t="shared" ref="C208:D208" si="29">+C207*1.0225</f>
        <v>101.905151288686</v>
      </c>
      <c r="D208" s="1121">
        <f t="shared" si="29"/>
        <v>183.429272319635</v>
      </c>
      <c r="E208" s="1121">
        <f t="shared" ref="E208:E217" si="30">+AVERAGE(C208:D208)</f>
        <v>142.667211804161</v>
      </c>
      <c r="F208"/>
      <c r="G208"/>
      <c r="H208"/>
      <c r="I208"/>
    </row>
    <row r="209" s="1025" customFormat="1" ht="15" spans="2:9">
      <c r="B209" s="487">
        <v>2063</v>
      </c>
      <c r="C209" s="1121">
        <f t="shared" ref="C209:D209" si="31">+C208*1.0225</f>
        <v>104.198017192682</v>
      </c>
      <c r="D209" s="1121">
        <f t="shared" si="31"/>
        <v>187.556430946827</v>
      </c>
      <c r="E209" s="1121">
        <f t="shared" si="30"/>
        <v>145.877224069755</v>
      </c>
      <c r="F209"/>
      <c r="G209"/>
      <c r="H209"/>
      <c r="I209"/>
    </row>
    <row r="210" s="1025" customFormat="1" ht="15" spans="2:9">
      <c r="B210" s="487">
        <v>2064</v>
      </c>
      <c r="C210" s="1121">
        <f t="shared" ref="C210:D210" si="32">+C209*1.0225</f>
        <v>106.542472579517</v>
      </c>
      <c r="D210" s="1121">
        <f t="shared" si="32"/>
        <v>191.776450643131</v>
      </c>
      <c r="E210" s="1121">
        <f t="shared" si="30"/>
        <v>149.159461611324</v>
      </c>
      <c r="F210"/>
      <c r="G210"/>
      <c r="H210"/>
      <c r="I210"/>
    </row>
    <row r="211" s="1025" customFormat="1" ht="15" spans="2:9">
      <c r="B211" s="487">
        <v>2065</v>
      </c>
      <c r="C211" s="1121">
        <f t="shared" ref="C211:D211" si="33">+C210*1.0225</f>
        <v>108.939678212556</v>
      </c>
      <c r="D211" s="1121">
        <f t="shared" si="33"/>
        <v>196.091420782601</v>
      </c>
      <c r="E211" s="1121">
        <f t="shared" si="30"/>
        <v>152.515549497579</v>
      </c>
      <c r="F211"/>
      <c r="G211"/>
      <c r="H211"/>
      <c r="I211"/>
    </row>
    <row r="212" s="1025" customFormat="1" ht="15" spans="2:9">
      <c r="B212" s="487">
        <v>2066</v>
      </c>
      <c r="C212" s="1121">
        <f t="shared" ref="C212:D212" si="34">+C211*1.0225</f>
        <v>111.390820972339</v>
      </c>
      <c r="D212" s="1121">
        <f t="shared" si="34"/>
        <v>200.50347775021</v>
      </c>
      <c r="E212" s="1121">
        <f t="shared" si="30"/>
        <v>155.947149361274</v>
      </c>
      <c r="F212"/>
      <c r="G212"/>
      <c r="H212"/>
      <c r="I212"/>
    </row>
    <row r="213" s="1025" customFormat="1" ht="15" spans="2:9">
      <c r="B213" s="487">
        <v>2067</v>
      </c>
      <c r="C213" s="1121">
        <f t="shared" ref="C213:D213" si="35">+C212*1.0225</f>
        <v>113.897114444217</v>
      </c>
      <c r="D213" s="1121">
        <f t="shared" si="35"/>
        <v>205.01480599959</v>
      </c>
      <c r="E213" s="1121">
        <f t="shared" si="30"/>
        <v>159.455960221903</v>
      </c>
      <c r="F213"/>
      <c r="G213"/>
      <c r="H213"/>
      <c r="I213"/>
    </row>
    <row r="214" s="1025" customFormat="1" ht="15" spans="2:9">
      <c r="B214" s="487">
        <v>2068</v>
      </c>
      <c r="C214" s="1121">
        <f t="shared" ref="C214:D214" si="36">+C213*1.0225</f>
        <v>116.459799519211</v>
      </c>
      <c r="D214" s="1121">
        <f t="shared" si="36"/>
        <v>209.62763913458</v>
      </c>
      <c r="E214" s="1121">
        <f t="shared" si="30"/>
        <v>163.043719326896</v>
      </c>
      <c r="F214"/>
      <c r="G214"/>
      <c r="H214"/>
      <c r="I214"/>
    </row>
    <row r="215" s="1025" customFormat="1" ht="15" spans="2:9">
      <c r="B215" s="487">
        <v>2069</v>
      </c>
      <c r="C215" s="1121">
        <f t="shared" ref="C215:D215" si="37">+C214*1.0225</f>
        <v>119.080145008394</v>
      </c>
      <c r="D215" s="1121">
        <f t="shared" si="37"/>
        <v>214.344261015108</v>
      </c>
      <c r="E215" s="1121">
        <f t="shared" si="30"/>
        <v>166.712203011751</v>
      </c>
      <c r="F215"/>
      <c r="G215"/>
      <c r="H215"/>
      <c r="I215"/>
    </row>
    <row r="216" s="1025" customFormat="1" ht="15" spans="2:9">
      <c r="B216" s="487">
        <v>2070</v>
      </c>
      <c r="C216" s="1121">
        <f t="shared" ref="C216:D216" si="38">+C215*1.0225</f>
        <v>121.759448271082</v>
      </c>
      <c r="D216" s="1121">
        <f t="shared" si="38"/>
        <v>219.167006887948</v>
      </c>
      <c r="E216" s="1121">
        <f t="shared" si="30"/>
        <v>170.463227579515</v>
      </c>
      <c r="F216"/>
      <c r="G216"/>
      <c r="H216"/>
      <c r="I216"/>
    </row>
    <row r="217" s="1025" customFormat="1" ht="15" spans="2:9">
      <c r="B217" s="487">
        <v>2071</v>
      </c>
      <c r="C217" s="1121">
        <f t="shared" ref="C217:D217" si="39">+C216*1.0225</f>
        <v>124.499035857182</v>
      </c>
      <c r="D217" s="1121">
        <f t="shared" si="39"/>
        <v>224.098264542927</v>
      </c>
      <c r="E217" s="1121">
        <f t="shared" si="30"/>
        <v>174.298650200054</v>
      </c>
      <c r="F217"/>
      <c r="G217"/>
      <c r="H217"/>
      <c r="I217"/>
    </row>
    <row r="218" s="1025" customFormat="1" ht="15" spans="2:9">
      <c r="B218" s="826" t="s">
        <v>205</v>
      </c>
      <c r="C218" s="826"/>
      <c r="D218" s="826"/>
      <c r="E218" s="826"/>
      <c r="F218" s="826"/>
      <c r="G218"/>
      <c r="H218"/>
      <c r="I218"/>
    </row>
    <row r="219" s="1025" customFormat="1" ht="15" spans="2:9">
      <c r="B219" s="826"/>
      <c r="C219" s="826"/>
      <c r="D219" s="826"/>
      <c r="E219" s="826"/>
      <c r="F219" s="826"/>
      <c r="G219"/>
      <c r="H219"/>
      <c r="I219"/>
    </row>
    <row r="220" s="1025" customFormat="1" ht="15" spans="2:9">
      <c r="B220" s="826"/>
      <c r="C220" s="826"/>
      <c r="D220" s="826"/>
      <c r="E220" s="826"/>
      <c r="F220" s="826"/>
      <c r="G220"/>
      <c r="H220"/>
      <c r="I220"/>
    </row>
    <row r="221" s="1025" customFormat="1" ht="15" spans="2:9">
      <c r="B221" s="826"/>
      <c r="C221" s="826"/>
      <c r="D221" s="826"/>
      <c r="E221" s="826"/>
      <c r="F221" s="826"/>
      <c r="G221"/>
      <c r="H221"/>
      <c r="I221"/>
    </row>
    <row r="222" s="1025" customFormat="1" ht="25.95" customHeight="1" spans="2:9">
      <c r="B222" s="826"/>
      <c r="C222" s="826"/>
      <c r="D222" s="826"/>
      <c r="E222" s="826"/>
      <c r="F222" s="826"/>
      <c r="G222"/>
      <c r="H222"/>
      <c r="I222"/>
    </row>
    <row r="223" s="1025" customFormat="1" ht="15" spans="2:9">
      <c r="B223" s="826" t="s">
        <v>206</v>
      </c>
      <c r="C223" s="826"/>
      <c r="D223" s="826"/>
      <c r="E223" s="826"/>
      <c r="F223" s="826"/>
      <c r="G223"/>
      <c r="H223"/>
      <c r="I223"/>
    </row>
    <row r="224" s="1025" customFormat="1" ht="15" spans="2:9">
      <c r="B224" s="826"/>
      <c r="C224" s="826"/>
      <c r="D224" s="826"/>
      <c r="E224" s="826"/>
      <c r="F224" s="826"/>
      <c r="G224"/>
      <c r="H224"/>
      <c r="I224"/>
    </row>
    <row r="225" s="1025" customFormat="1" ht="15" spans="2:9">
      <c r="B225" s="826"/>
      <c r="C225" s="826"/>
      <c r="D225" s="826"/>
      <c r="E225" s="826"/>
      <c r="F225" s="826"/>
      <c r="G225"/>
      <c r="H225"/>
      <c r="I225"/>
    </row>
    <row r="226" s="1025" customFormat="1" ht="15" spans="2:9">
      <c r="B226" s="826"/>
      <c r="C226" s="826"/>
      <c r="D226" s="826"/>
      <c r="E226" s="826"/>
      <c r="F226" s="826"/>
      <c r="G226"/>
      <c r="H226"/>
      <c r="I226"/>
    </row>
    <row r="227" s="1025" customFormat="1" ht="15" spans="2:9">
      <c r="B227" s="826"/>
      <c r="C227" s="826"/>
      <c r="D227" s="826"/>
      <c r="E227" s="826"/>
      <c r="F227" s="826"/>
      <c r="G227"/>
      <c r="H227"/>
      <c r="I227"/>
    </row>
    <row r="228" s="1025" customFormat="1" ht="15" spans="2:9">
      <c r="B228"/>
      <c r="C228"/>
      <c r="D228"/>
      <c r="E228"/>
      <c r="F228"/>
      <c r="G228"/>
      <c r="H228"/>
      <c r="I228"/>
    </row>
    <row r="229" s="1025" customFormat="1" ht="15" spans="2:9">
      <c r="B229" s="1003" t="s">
        <v>207</v>
      </c>
      <c r="C229"/>
      <c r="D229"/>
      <c r="E229"/>
      <c r="F229"/>
      <c r="G229"/>
      <c r="H229"/>
      <c r="I229"/>
    </row>
    <row r="230" s="1025" customFormat="1" ht="29.4" customHeight="1" spans="2:9">
      <c r="B230" s="869" t="s">
        <v>208</v>
      </c>
      <c r="C230" s="869" t="s">
        <v>209</v>
      </c>
      <c r="D230" s="1124" t="s">
        <v>210</v>
      </c>
      <c r="E230"/>
      <c r="F230"/>
      <c r="G230"/>
      <c r="H230"/>
      <c r="I230"/>
    </row>
    <row r="231" s="1025" customFormat="1" ht="15" spans="2:9">
      <c r="B231" s="1100" t="s">
        <v>211</v>
      </c>
      <c r="C231" s="1125">
        <v>0.98</v>
      </c>
      <c r="D231" s="1125">
        <v>1</v>
      </c>
      <c r="E231"/>
      <c r="F231"/>
      <c r="G231"/>
      <c r="H231"/>
      <c r="I231"/>
    </row>
    <row r="232" s="1025" customFormat="1" ht="15" spans="2:9">
      <c r="B232" s="1100" t="s">
        <v>212</v>
      </c>
      <c r="C232" s="1125">
        <v>1</v>
      </c>
      <c r="D232" s="1125">
        <v>1</v>
      </c>
      <c r="E232"/>
      <c r="F232"/>
      <c r="G232"/>
      <c r="H232"/>
      <c r="I232"/>
    </row>
    <row r="233" s="1025" customFormat="1" ht="15" spans="2:9">
      <c r="B233" s="1126" t="s">
        <v>8</v>
      </c>
      <c r="C233"/>
      <c r="D233"/>
      <c r="E233"/>
      <c r="F233"/>
      <c r="G233"/>
      <c r="H233"/>
      <c r="I233"/>
    </row>
    <row r="234" s="1025" customFormat="1" ht="15" spans="2:9">
      <c r="B234" s="1" t="s">
        <v>213</v>
      </c>
      <c r="C234"/>
      <c r="D234"/>
      <c r="E234"/>
      <c r="F234"/>
      <c r="G234"/>
      <c r="H234"/>
      <c r="I234"/>
    </row>
    <row r="235" s="1025" customFormat="1" ht="15" spans="2:9">
      <c r="B235"/>
      <c r="C235"/>
      <c r="D235"/>
      <c r="E235"/>
      <c r="F235"/>
      <c r="G235"/>
      <c r="H235"/>
      <c r="I235"/>
    </row>
    <row r="236" s="1025" customFormat="1" ht="15" spans="2:9">
      <c r="B236" s="242" t="s">
        <v>214</v>
      </c>
      <c r="C236"/>
      <c r="D236"/>
      <c r="E236"/>
      <c r="F236"/>
      <c r="G236"/>
      <c r="H236"/>
      <c r="I236"/>
    </row>
    <row r="237" s="1025" customFormat="1" ht="15" spans="2:9">
      <c r="B237"/>
      <c r="C237"/>
      <c r="D237"/>
      <c r="E237"/>
      <c r="F237"/>
      <c r="G237"/>
      <c r="H237"/>
      <c r="I237"/>
    </row>
    <row r="238" s="1025" customFormat="1" ht="15" spans="2:9">
      <c r="B238" t="s">
        <v>215</v>
      </c>
      <c r="C238"/>
      <c r="D238"/>
      <c r="E238"/>
      <c r="F238"/>
      <c r="G238"/>
      <c r="H238"/>
      <c r="I238"/>
    </row>
    <row r="239" s="1025" customFormat="1" ht="15" spans="2:9">
      <c r="B239" s="181" t="s">
        <v>216</v>
      </c>
      <c r="C239" s="181"/>
      <c r="D239" s="181"/>
      <c r="E239" s="181"/>
      <c r="F239" s="181"/>
      <c r="G239" s="181"/>
      <c r="H239" s="181"/>
      <c r="I239"/>
    </row>
    <row r="240" s="1025" customFormat="1" ht="15" spans="2:9">
      <c r="B240" s="291" t="s">
        <v>217</v>
      </c>
      <c r="C240" s="262" t="s">
        <v>218</v>
      </c>
      <c r="D240" s="262" t="s">
        <v>219</v>
      </c>
      <c r="E240" s="262" t="s">
        <v>220</v>
      </c>
      <c r="F240" s="262" t="s">
        <v>221</v>
      </c>
      <c r="G240" s="262" t="s">
        <v>222</v>
      </c>
      <c r="H240" s="262" t="s">
        <v>223</v>
      </c>
      <c r="I240"/>
    </row>
    <row r="241" s="1025" customFormat="1" ht="15" spans="2:9">
      <c r="B241" s="291" t="s">
        <v>209</v>
      </c>
      <c r="C241" s="189">
        <v>0.15</v>
      </c>
      <c r="D241" s="189">
        <v>0.2</v>
      </c>
      <c r="E241" s="189">
        <v>0.4</v>
      </c>
      <c r="F241" s="189">
        <v>0.43</v>
      </c>
      <c r="G241" s="189">
        <v>0.24</v>
      </c>
      <c r="H241" s="189">
        <v>0.24</v>
      </c>
      <c r="I241"/>
    </row>
    <row r="242" s="1025" customFormat="1" ht="15" spans="2:9">
      <c r="B242" s="1127" t="s">
        <v>224</v>
      </c>
      <c r="C242" s="1128"/>
      <c r="D242" s="1128"/>
      <c r="E242" s="1128"/>
      <c r="F242" s="1128"/>
      <c r="G242" s="1128"/>
      <c r="H242" s="1128"/>
      <c r="I242"/>
    </row>
    <row r="243" s="1025" customFormat="1" ht="15" spans="2:9">
      <c r="B243" s="1129"/>
      <c r="C243" s="1128"/>
      <c r="D243" s="1128"/>
      <c r="E243" s="1128"/>
      <c r="F243" s="1128"/>
      <c r="G243" s="1128"/>
      <c r="H243" s="1128"/>
      <c r="I243"/>
    </row>
    <row r="244" s="1025" customFormat="1" ht="15" spans="2:9">
      <c r="B244" s="242" t="s">
        <v>225</v>
      </c>
      <c r="C244"/>
      <c r="D244"/>
      <c r="E244"/>
      <c r="F244"/>
      <c r="G244"/>
      <c r="H244"/>
      <c r="I244"/>
    </row>
    <row r="245" s="1025" customFormat="1" ht="15" spans="2:9">
      <c r="B245" s="1130" t="s">
        <v>226</v>
      </c>
      <c r="C245" s="1130"/>
      <c r="D245" s="1130"/>
      <c r="E245" s="1130"/>
      <c r="F245" s="1130"/>
      <c r="G245" s="1130"/>
      <c r="H245" s="1130"/>
      <c r="I245"/>
    </row>
    <row r="246" s="1025" customFormat="1" ht="15" spans="2:9">
      <c r="B246" s="291" t="s">
        <v>227</v>
      </c>
      <c r="C246" s="256">
        <f>+'[1]II. Caracterizacion RSU'!$C$6</f>
        <v>0.229258032448241</v>
      </c>
      <c r="D246" s="256">
        <f>+'[1]II. Caracterizacion RSU'!$C$7</f>
        <v>0.0244986733254177</v>
      </c>
      <c r="E246" s="256">
        <f>+'[1]II. Caracterizacion RSU'!$C$10</f>
        <v>0.104821036737702</v>
      </c>
      <c r="F246" s="256">
        <f>+'[1]II. Caracterizacion RSU'!$C$28</f>
        <v>0.0117190438684641</v>
      </c>
      <c r="G246" s="256">
        <f>+'[1]II. Caracterizacion RSU'!$C$23+'[1]II. Caracterizacion RSU'!$C$24+'[1]II. Caracterizacion RSU'!$C$25</f>
        <v>0.0534624062932926</v>
      </c>
      <c r="H246" s="256">
        <f>+'[1]II. Caracterizacion RSU'!$C$27</f>
        <v>0.0346498699309482</v>
      </c>
      <c r="I246"/>
    </row>
    <row r="247" s="1025" customFormat="1" ht="15" spans="2:9">
      <c r="B247" s="291" t="s">
        <v>228</v>
      </c>
      <c r="C247" s="333">
        <f>+C246</f>
        <v>0.229258032448241</v>
      </c>
      <c r="D247" s="333">
        <f t="shared" ref="D247:H247" si="40">+D246</f>
        <v>0.0244986733254177</v>
      </c>
      <c r="E247" s="333">
        <f t="shared" si="40"/>
        <v>0.104821036737702</v>
      </c>
      <c r="F247" s="333">
        <f t="shared" si="40"/>
        <v>0.0117190438684641</v>
      </c>
      <c r="G247" s="333">
        <f t="shared" si="40"/>
        <v>0.0534624062932926</v>
      </c>
      <c r="H247" s="333">
        <f t="shared" si="40"/>
        <v>0.0346498699309482</v>
      </c>
      <c r="I247"/>
    </row>
    <row r="248" s="1025" customFormat="1" ht="15" spans="2:9">
      <c r="B248" s="1127" t="s">
        <v>224</v>
      </c>
      <c r="C248" s="1131"/>
      <c r="D248" s="1131"/>
      <c r="E248" s="1131"/>
      <c r="F248" s="1131"/>
      <c r="G248" s="1131"/>
      <c r="H248" s="1131"/>
      <c r="I248"/>
    </row>
    <row r="249" s="1025" customFormat="1" ht="15" spans="2:9">
      <c r="B249" s="1129"/>
      <c r="C249" s="1131"/>
      <c r="D249" s="1131"/>
      <c r="E249" s="1131"/>
      <c r="F249" s="1131"/>
      <c r="G249" s="1131"/>
      <c r="H249" s="1131"/>
      <c r="I249"/>
    </row>
    <row r="250" s="1025" customFormat="1" ht="15" spans="2:9">
      <c r="B250" s="242" t="s">
        <v>229</v>
      </c>
      <c r="C250"/>
      <c r="D250"/>
      <c r="E250"/>
      <c r="F250"/>
      <c r="G250"/>
      <c r="H250"/>
      <c r="I250"/>
    </row>
    <row r="251" ht="14.4" customHeight="1" spans="2:10">
      <c r="B251" s="740" t="s">
        <v>230</v>
      </c>
      <c r="C251" s="740"/>
      <c r="D251" s="740"/>
      <c r="E251" s="740"/>
      <c r="F251" s="740"/>
      <c r="G251" s="740"/>
      <c r="H251" s="740"/>
      <c r="J251" s="1029"/>
    </row>
    <row r="252" ht="15" spans="2:10">
      <c r="B252" s="209"/>
      <c r="C252" s="1132" t="s">
        <v>231</v>
      </c>
      <c r="D252" s="1132" t="s">
        <v>232</v>
      </c>
      <c r="E252" s="1132" t="s">
        <v>233</v>
      </c>
      <c r="F252" s="1132" t="s">
        <v>234</v>
      </c>
      <c r="G252" s="1132" t="s">
        <v>235</v>
      </c>
      <c r="H252" s="1132" t="s">
        <v>236</v>
      </c>
      <c r="J252" s="1029"/>
    </row>
    <row r="253" ht="15" spans="2:10">
      <c r="B253" s="209" t="s">
        <v>237</v>
      </c>
      <c r="C253" s="209">
        <v>0.1</v>
      </c>
      <c r="D253" s="209">
        <v>0.05</v>
      </c>
      <c r="E253" s="209">
        <v>0.02</v>
      </c>
      <c r="F253" s="209">
        <v>0.01</v>
      </c>
      <c r="G253" s="209">
        <v>0.02</v>
      </c>
      <c r="H253" s="209">
        <v>0.1</v>
      </c>
      <c r="J253" s="1029"/>
    </row>
    <row r="254" ht="15" spans="2:10">
      <c r="B254" s="1127" t="s">
        <v>224</v>
      </c>
      <c r="C254" s="1133"/>
      <c r="D254" s="1133"/>
      <c r="E254" s="1133"/>
      <c r="F254" s="1133"/>
      <c r="G254" s="1133"/>
      <c r="H254" s="1133"/>
      <c r="J254" s="1029"/>
    </row>
    <row r="255" ht="15" spans="2:10">
      <c r="B255"/>
      <c r="C255"/>
      <c r="D255"/>
      <c r="E255"/>
      <c r="F255"/>
      <c r="G255"/>
      <c r="H255"/>
      <c r="J255" s="1029"/>
    </row>
    <row r="256" ht="15" spans="2:10">
      <c r="B256" s="242" t="s">
        <v>238</v>
      </c>
      <c r="C256"/>
      <c r="D256"/>
      <c r="E256"/>
      <c r="F256"/>
      <c r="G256"/>
      <c r="H256"/>
      <c r="J256" s="1029"/>
    </row>
    <row r="257" ht="15" spans="2:10">
      <c r="B257" s="1130" t="s">
        <v>239</v>
      </c>
      <c r="C257" s="1130"/>
      <c r="D257"/>
      <c r="E257"/>
      <c r="F257"/>
      <c r="G257"/>
      <c r="H257"/>
      <c r="J257" s="1029"/>
    </row>
    <row r="258" ht="15" spans="2:10">
      <c r="B258" s="1134" t="s">
        <v>240</v>
      </c>
      <c r="C258" s="311">
        <v>28</v>
      </c>
      <c r="D258"/>
      <c r="E258"/>
      <c r="F258"/>
      <c r="G258"/>
      <c r="H258"/>
      <c r="J258" s="1029"/>
    </row>
    <row r="259" ht="15" spans="2:10">
      <c r="B259" s="1134" t="s">
        <v>241</v>
      </c>
      <c r="C259" s="311">
        <v>265</v>
      </c>
      <c r="D259"/>
      <c r="E259"/>
      <c r="F259"/>
      <c r="G259"/>
      <c r="H259"/>
      <c r="J259" s="1029"/>
    </row>
    <row r="260" ht="14.4" customHeight="1" spans="2:10">
      <c r="B260" s="1135" t="s">
        <v>242</v>
      </c>
      <c r="C260" s="1135"/>
      <c r="D260"/>
      <c r="E260"/>
      <c r="F260"/>
      <c r="G260"/>
      <c r="H260"/>
      <c r="J260" s="1029"/>
    </row>
    <row r="261" ht="15" spans="2:10">
      <c r="B261" s="1136"/>
      <c r="C261" s="1136"/>
      <c r="D261"/>
      <c r="E261"/>
      <c r="F261"/>
      <c r="G261"/>
      <c r="H261"/>
      <c r="J261" s="1029"/>
    </row>
    <row r="262" ht="15" spans="2:10">
      <c r="B262" s="1136"/>
      <c r="C262" s="1136"/>
      <c r="D262"/>
      <c r="E262"/>
      <c r="F262"/>
      <c r="G262"/>
      <c r="H262"/>
      <c r="J262" s="1029"/>
    </row>
    <row r="263" ht="15" spans="2:10">
      <c r="B263"/>
      <c r="C263"/>
      <c r="D263"/>
      <c r="E263"/>
      <c r="F263"/>
      <c r="G263"/>
      <c r="H263"/>
      <c r="J263" s="1029"/>
    </row>
    <row r="264" ht="15" spans="2:10">
      <c r="B264"/>
      <c r="C264"/>
      <c r="D264"/>
      <c r="E264"/>
      <c r="F264"/>
      <c r="G264"/>
      <c r="H264"/>
      <c r="J264" s="1029"/>
    </row>
    <row r="265" ht="15" spans="2:10">
      <c r="B265"/>
      <c r="C265"/>
      <c r="D265"/>
      <c r="E265"/>
      <c r="F265"/>
      <c r="G265"/>
      <c r="H265"/>
      <c r="J265" s="1029"/>
    </row>
    <row r="266" ht="15" spans="2:10">
      <c r="B266"/>
      <c r="C266"/>
      <c r="D266"/>
      <c r="E266"/>
      <c r="F266"/>
      <c r="G266"/>
      <c r="H266"/>
      <c r="J266" s="1029"/>
    </row>
    <row r="267" spans="2:10">
      <c r="B267" s="588"/>
      <c r="J267" s="1029"/>
    </row>
    <row r="268" spans="2:10">
      <c r="B268" s="588"/>
      <c r="J268" s="1029"/>
    </row>
    <row r="269" spans="2:10">
      <c r="B269" s="588"/>
      <c r="J269" s="1029"/>
    </row>
    <row r="270" spans="2:10">
      <c r="B270" s="588"/>
      <c r="J270" s="1029"/>
    </row>
    <row r="271" spans="2:10">
      <c r="B271" s="588"/>
      <c r="J271" s="1029"/>
    </row>
    <row r="272" spans="2:10">
      <c r="B272" s="588"/>
      <c r="J272" s="1029"/>
    </row>
    <row r="273" spans="2:10">
      <c r="B273" s="588"/>
      <c r="J273" s="1029"/>
    </row>
    <row r="274" spans="2:10">
      <c r="B274" s="588"/>
      <c r="J274" s="1029"/>
    </row>
  </sheetData>
  <mergeCells count="35">
    <mergeCell ref="B2:L2"/>
    <mergeCell ref="B4:L4"/>
    <mergeCell ref="F26:K26"/>
    <mergeCell ref="F27:G27"/>
    <mergeCell ref="F28:G28"/>
    <mergeCell ref="F29:G29"/>
    <mergeCell ref="F32:G32"/>
    <mergeCell ref="F33:G33"/>
    <mergeCell ref="F34:J34"/>
    <mergeCell ref="F37:H37"/>
    <mergeCell ref="E68:H68"/>
    <mergeCell ref="E75:H75"/>
    <mergeCell ref="E77:F77"/>
    <mergeCell ref="B82:C82"/>
    <mergeCell ref="D85:E85"/>
    <mergeCell ref="B137:G137"/>
    <mergeCell ref="B142:D142"/>
    <mergeCell ref="G142:J142"/>
    <mergeCell ref="B153:C153"/>
    <mergeCell ref="B159:C159"/>
    <mergeCell ref="C164:E164"/>
    <mergeCell ref="B239:H239"/>
    <mergeCell ref="B245:H245"/>
    <mergeCell ref="B251:H251"/>
    <mergeCell ref="B257:C257"/>
    <mergeCell ref="B164:B165"/>
    <mergeCell ref="F40:F41"/>
    <mergeCell ref="F48:F49"/>
    <mergeCell ref="F50:F51"/>
    <mergeCell ref="H40:H41"/>
    <mergeCell ref="H48:H49"/>
    <mergeCell ref="H50:H51"/>
    <mergeCell ref="B218:F222"/>
    <mergeCell ref="B223:F227"/>
    <mergeCell ref="B260:C262"/>
  </mergeCells>
  <hyperlinks>
    <hyperlink ref="H29" r:id="rId2" display="app.cfe.mx/Aplicaciones/CCFE/Tarifas/TarifasCRENegocio/Tarifas/GranDemandaMTH.aspx"/>
    <hyperlink ref="H27" r:id="rId2" display="app.cfe.mx/Aplicaciones/CCFE/Tarifas/TarifasCRENegocio/Tarifas/GranDemandaMTH.aspx"/>
    <hyperlink ref="H28" r:id="rId2" display="app.cfe.mx/Aplicaciones/CCFE/Tarifas/TarifasCRENegocio/Tarifas/GranDemandaMTH.aspx"/>
    <hyperlink ref="H33" r:id="rId2" display="app.cfe.mx/Aplicaciones/CCFE/Tarifas/TarifasCRENegocio/Tarifas/GranDemandaMTH.aspx"/>
    <hyperlink ref="H32" r:id="rId2" display="app.cfe.mx/Aplicaciones/CCFE/Tarifas/TarifasCRENegocio/Tarifas/GranDemandaMTH.aspx"/>
  </hyperlinks>
  <pageMargins left="0.7" right="0.7" top="0.75" bottom="0.75" header="0.3" footer="0.3"/>
  <pageSetup paperSize="9" orientation="portrait"/>
  <headerFooter/>
  <ignoredErrors>
    <ignoredError sqref="E166:E176" formulaRange="1"/>
  </ignoredError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B1:S119"/>
  <sheetViews>
    <sheetView workbookViewId="0">
      <selection activeCell="F19" sqref="F19"/>
    </sheetView>
  </sheetViews>
  <sheetFormatPr defaultColWidth="11.552380952381" defaultRowHeight="15"/>
  <cols>
    <col min="1" max="1" width="2.33333333333333" customWidth="1"/>
    <col min="2" max="2" width="16.552380952381" customWidth="1"/>
    <col min="3" max="3" width="12.4380952380952" customWidth="1"/>
    <col min="4" max="5" width="11.4380952380952" customWidth="1"/>
    <col min="6" max="7" width="13.3333333333333" customWidth="1"/>
    <col min="8" max="18" width="11.4380952380952" customWidth="1"/>
    <col min="19" max="19" width="13" customWidth="1"/>
  </cols>
  <sheetData>
    <row r="1" s="1001" customFormat="1" ht="12"/>
    <row r="2" s="1001" customFormat="1" ht="21" customHeight="1" spans="2:19">
      <c r="B2" s="738" t="s">
        <v>0</v>
      </c>
      <c r="C2" s="738"/>
      <c r="D2" s="738"/>
      <c r="E2" s="738"/>
      <c r="F2" s="738"/>
      <c r="G2" s="738"/>
      <c r="H2" s="738"/>
      <c r="I2" s="738"/>
      <c r="J2" s="738"/>
      <c r="K2" s="738"/>
      <c r="L2" s="738"/>
      <c r="M2" s="738"/>
      <c r="N2" s="738"/>
      <c r="O2" s="738"/>
      <c r="P2" s="738"/>
      <c r="Q2" s="738"/>
      <c r="R2" s="738"/>
      <c r="S2" s="738"/>
    </row>
    <row r="3" s="1001" customFormat="1" ht="12" customHeight="1" spans="2:19">
      <c r="B3" s="179"/>
      <c r="C3" s="179"/>
      <c r="D3" s="179"/>
      <c r="E3" s="179"/>
      <c r="F3" s="179"/>
      <c r="G3" s="179"/>
      <c r="H3" s="179"/>
      <c r="I3" s="179"/>
      <c r="J3" s="179"/>
      <c r="K3" s="179"/>
      <c r="L3" s="179"/>
      <c r="M3" s="179"/>
      <c r="N3" s="179"/>
      <c r="O3" s="179"/>
      <c r="P3" s="179"/>
      <c r="Q3" s="179"/>
      <c r="R3" s="179"/>
      <c r="S3" s="179"/>
    </row>
    <row r="4" s="1001" customFormat="1" ht="16.2" customHeight="1" spans="2:19">
      <c r="B4" s="851" t="s">
        <v>243</v>
      </c>
      <c r="C4" s="851"/>
      <c r="D4" s="851"/>
      <c r="E4" s="851"/>
      <c r="F4" s="851"/>
      <c r="G4" s="851"/>
      <c r="H4" s="851"/>
      <c r="I4" s="851"/>
      <c r="J4" s="851"/>
      <c r="K4" s="851"/>
      <c r="L4" s="851"/>
      <c r="M4" s="851"/>
      <c r="N4" s="851"/>
      <c r="O4" s="851"/>
      <c r="P4" s="851"/>
      <c r="Q4" s="851"/>
      <c r="R4" s="851"/>
      <c r="S4" s="851"/>
    </row>
    <row r="5" s="1001" customFormat="1" ht="14.7" customHeight="1" spans="2:19">
      <c r="B5" s="1002"/>
      <c r="C5" s="1002"/>
      <c r="D5" s="1002"/>
      <c r="E5" s="1002"/>
      <c r="F5" s="1002"/>
      <c r="G5" s="1002"/>
      <c r="H5" s="1002"/>
      <c r="I5" s="1002"/>
      <c r="J5" s="1002"/>
      <c r="K5" s="1002"/>
      <c r="L5" s="1002"/>
      <c r="M5" s="1002"/>
      <c r="N5" s="1002"/>
      <c r="O5" s="1002"/>
      <c r="P5" s="1002"/>
      <c r="Q5" s="1002"/>
      <c r="R5" s="1002"/>
      <c r="S5" s="1002"/>
    </row>
    <row r="6" s="183" customFormat="1" ht="14.7" customHeight="1" spans="2:19">
      <c r="B6" s="328"/>
      <c r="C6" s="328"/>
      <c r="D6" s="328"/>
      <c r="E6" s="328"/>
      <c r="F6" s="328"/>
      <c r="G6" s="328"/>
      <c r="H6" s="328"/>
      <c r="I6" s="328"/>
      <c r="J6" s="328"/>
      <c r="K6" s="328"/>
      <c r="L6" s="328"/>
      <c r="M6" s="328"/>
      <c r="N6" s="328"/>
      <c r="O6" s="328"/>
      <c r="P6" s="328"/>
      <c r="Q6" s="328"/>
      <c r="R6" s="328"/>
      <c r="S6" s="328"/>
    </row>
    <row r="7" s="183" customFormat="1" ht="14.7" customHeight="1" spans="2:19">
      <c r="B7" s="1003" t="s">
        <v>244</v>
      </c>
      <c r="C7" s="605"/>
      <c r="D7" s="328"/>
      <c r="E7" s="328"/>
      <c r="F7" s="328"/>
      <c r="G7" s="328"/>
      <c r="H7" s="328"/>
      <c r="I7" s="328"/>
      <c r="J7" s="328"/>
      <c r="K7" s="328"/>
      <c r="L7" s="328"/>
      <c r="M7" s="328"/>
      <c r="N7" s="328"/>
      <c r="O7" s="328"/>
      <c r="P7" s="328"/>
      <c r="Q7" s="328"/>
      <c r="R7" s="328"/>
      <c r="S7" s="328"/>
    </row>
    <row r="8" s="183" customFormat="1" ht="30" spans="2:19">
      <c r="B8" s="690" t="s">
        <v>245</v>
      </c>
      <c r="C8" s="1004" t="s">
        <v>246</v>
      </c>
      <c r="D8" s="328"/>
      <c r="E8" s="328"/>
      <c r="F8" s="328"/>
      <c r="G8" s="328"/>
      <c r="H8" s="328"/>
      <c r="I8" s="328"/>
      <c r="J8" s="328"/>
      <c r="K8" s="328"/>
      <c r="L8" s="328"/>
      <c r="M8" s="328"/>
      <c r="N8" s="328"/>
      <c r="O8" s="328"/>
      <c r="P8" s="328"/>
      <c r="Q8" s="328"/>
      <c r="R8" s="328"/>
      <c r="S8" s="328"/>
    </row>
    <row r="9" s="183" customFormat="1" ht="14.7" customHeight="1" spans="2:19">
      <c r="B9" s="1005" t="s">
        <v>237</v>
      </c>
      <c r="C9" s="782">
        <v>937674</v>
      </c>
      <c r="D9" s="328"/>
      <c r="E9" s="328"/>
      <c r="F9" s="328"/>
      <c r="G9" s="328"/>
      <c r="H9" s="328"/>
      <c r="I9" s="328"/>
      <c r="J9" s="328"/>
      <c r="K9" s="328"/>
      <c r="L9" s="328"/>
      <c r="M9" s="328"/>
      <c r="N9" s="328"/>
      <c r="O9" s="328"/>
      <c r="P9" s="328"/>
      <c r="Q9" s="328"/>
      <c r="R9" s="328"/>
      <c r="S9" s="328"/>
    </row>
    <row r="10" s="183" customFormat="1" ht="14.7" customHeight="1" spans="2:19">
      <c r="B10" s="1005" t="s">
        <v>247</v>
      </c>
      <c r="C10" s="782">
        <v>26047</v>
      </c>
      <c r="D10" s="328"/>
      <c r="E10" s="328"/>
      <c r="F10" s="328"/>
      <c r="G10" s="328"/>
      <c r="H10" s="328"/>
      <c r="I10" s="328"/>
      <c r="J10" s="328"/>
      <c r="K10" s="328"/>
      <c r="L10" s="328"/>
      <c r="M10" s="328"/>
      <c r="N10" s="328"/>
      <c r="O10" s="328"/>
      <c r="P10" s="328"/>
      <c r="Q10" s="328"/>
      <c r="R10" s="328"/>
      <c r="S10" s="328"/>
    </row>
    <row r="11" s="183" customFormat="1" ht="14.7" customHeight="1" spans="2:19">
      <c r="B11" s="1005" t="s">
        <v>248</v>
      </c>
      <c r="C11" s="782">
        <v>24344</v>
      </c>
      <c r="D11" s="328"/>
      <c r="E11" s="328"/>
      <c r="F11" s="328"/>
      <c r="G11" s="328"/>
      <c r="H11" s="328"/>
      <c r="I11" s="328"/>
      <c r="J11" s="328"/>
      <c r="K11" s="328"/>
      <c r="L11" s="328"/>
      <c r="M11" s="328"/>
      <c r="N11" s="328"/>
      <c r="O11" s="328"/>
      <c r="P11" s="328"/>
      <c r="Q11" s="328"/>
      <c r="R11" s="328"/>
      <c r="S11" s="328"/>
    </row>
    <row r="12" s="183" customFormat="1" ht="14.7" customHeight="1" spans="2:19">
      <c r="B12" s="806" t="s">
        <v>170</v>
      </c>
      <c r="C12" s="1006">
        <f>+SUM(C9:C11)</f>
        <v>988065</v>
      </c>
      <c r="D12" s="1007"/>
      <c r="E12" s="328"/>
      <c r="F12" s="328"/>
      <c r="G12" s="328"/>
      <c r="H12" s="328"/>
      <c r="I12" s="328"/>
      <c r="J12" s="328"/>
      <c r="K12" s="328"/>
      <c r="L12" s="328"/>
      <c r="M12" s="328"/>
      <c r="N12" s="328"/>
      <c r="O12" s="328"/>
      <c r="P12" s="328"/>
      <c r="Q12" s="328"/>
      <c r="R12" s="328"/>
      <c r="S12" s="328"/>
    </row>
    <row r="13" s="183" customFormat="1" ht="14.7" customHeight="1" spans="2:19">
      <c r="B13" s="1008" t="s">
        <v>249</v>
      </c>
      <c r="C13" s="605"/>
      <c r="D13" s="328"/>
      <c r="E13" s="328"/>
      <c r="F13" s="328"/>
      <c r="G13" s="328"/>
      <c r="H13" s="328"/>
      <c r="I13" s="328"/>
      <c r="J13" s="328"/>
      <c r="K13" s="328"/>
      <c r="L13" s="328"/>
      <c r="M13" s="328"/>
      <c r="N13" s="328"/>
      <c r="O13" s="328"/>
      <c r="P13" s="328"/>
      <c r="Q13" s="328"/>
      <c r="R13" s="328"/>
      <c r="S13" s="328"/>
    </row>
    <row r="14" s="183" customFormat="1" spans="2:17">
      <c r="B14" s="328"/>
      <c r="C14" s="328"/>
      <c r="D14" s="328"/>
      <c r="E14" s="328"/>
      <c r="F14" s="328"/>
      <c r="G14" s="328"/>
      <c r="H14" s="328"/>
      <c r="I14" s="328"/>
      <c r="J14" s="328"/>
      <c r="K14" s="328"/>
      <c r="L14" s="328"/>
      <c r="M14" s="328"/>
      <c r="N14" s="328"/>
      <c r="O14" s="328"/>
      <c r="P14" s="328"/>
      <c r="Q14" s="328"/>
    </row>
    <row r="15" spans="2:2">
      <c r="B15" s="1003" t="s">
        <v>250</v>
      </c>
    </row>
    <row r="16" ht="62.4" customHeight="1" spans="2:9">
      <c r="B16" s="690" t="s">
        <v>251</v>
      </c>
      <c r="C16" s="690"/>
      <c r="D16" s="598" t="s">
        <v>252</v>
      </c>
      <c r="E16" s="598"/>
      <c r="F16" s="690" t="s">
        <v>253</v>
      </c>
      <c r="G16" s="690"/>
      <c r="H16" s="690"/>
      <c r="I16" s="690"/>
    </row>
    <row r="17" ht="30" spans="2:9">
      <c r="B17" s="1009" t="s">
        <v>254</v>
      </c>
      <c r="C17" s="1009" t="s">
        <v>200</v>
      </c>
      <c r="D17" s="1009" t="s">
        <v>255</v>
      </c>
      <c r="E17" s="1009" t="s">
        <v>256</v>
      </c>
      <c r="F17" s="1009" t="s">
        <v>237</v>
      </c>
      <c r="G17" s="1009" t="s">
        <v>247</v>
      </c>
      <c r="H17" s="1009" t="s">
        <v>257</v>
      </c>
      <c r="I17" s="1018" t="s">
        <v>170</v>
      </c>
    </row>
    <row r="18" spans="2:9">
      <c r="B18" s="804">
        <v>-4</v>
      </c>
      <c r="C18" s="804">
        <v>2020</v>
      </c>
      <c r="D18" s="1010">
        <v>0</v>
      </c>
      <c r="E18" s="1011">
        <v>1</v>
      </c>
      <c r="F18" s="1012">
        <f>+C9</f>
        <v>937674</v>
      </c>
      <c r="G18" s="1012">
        <f>+C10</f>
        <v>26047</v>
      </c>
      <c r="H18" s="1012">
        <f>+C11</f>
        <v>24344</v>
      </c>
      <c r="I18" s="1012">
        <f>+SUM(F18:H18)</f>
        <v>988065</v>
      </c>
    </row>
    <row r="19" spans="2:9">
      <c r="B19" s="209">
        <v>-3</v>
      </c>
      <c r="C19" s="209">
        <v>2021</v>
      </c>
      <c r="D19" s="1013">
        <f t="shared" ref="D19:D61" si="0">+D68</f>
        <v>0.00941774324119205</v>
      </c>
      <c r="E19" s="1014">
        <f>+E18*(1+D19)</f>
        <v>1.00941774324119</v>
      </c>
      <c r="F19" s="298">
        <f>+$F$18*E19</f>
        <v>946504.772975942</v>
      </c>
      <c r="G19" s="298">
        <f>+$G$18*E19</f>
        <v>26292.3039582033</v>
      </c>
      <c r="H19" s="298">
        <f>+$H$18*E19</f>
        <v>24573.2655414636</v>
      </c>
      <c r="I19" s="298">
        <f>+SUM(F19:H19)</f>
        <v>997370.342475609</v>
      </c>
    </row>
    <row r="20" spans="2:9">
      <c r="B20" s="209">
        <v>-2</v>
      </c>
      <c r="C20" s="209">
        <v>2022</v>
      </c>
      <c r="D20" s="1013">
        <f t="shared" si="0"/>
        <v>0.0111727220277301</v>
      </c>
      <c r="E20" s="1014">
        <f t="shared" ref="E20:E61" si="1">+E19*(1+D20)</f>
        <v>1.02069568709628</v>
      </c>
      <c r="F20" s="298">
        <f>+$F$18*E20</f>
        <v>957079.807702322</v>
      </c>
      <c r="G20" s="298">
        <f t="shared" ref="G20:G61" si="2">+$G$18*E20</f>
        <v>26586.0605617969</v>
      </c>
      <c r="H20" s="298">
        <f t="shared" ref="H20:H61" si="3">+$H$18*E20</f>
        <v>24847.815806672</v>
      </c>
      <c r="I20" s="298">
        <f t="shared" ref="I20:I61" si="4">+SUM(F20:H20)</f>
        <v>1008513.68407079</v>
      </c>
    </row>
    <row r="21" ht="14.7" customHeight="1" spans="2:9">
      <c r="B21" s="209">
        <v>-1</v>
      </c>
      <c r="C21" s="209">
        <v>2023</v>
      </c>
      <c r="D21" s="1013">
        <f t="shared" si="0"/>
        <v>0.0129022197425597</v>
      </c>
      <c r="E21" s="1015">
        <f t="shared" si="1"/>
        <v>1.03386492714148</v>
      </c>
      <c r="F21" s="298">
        <f>+$F$18*E21</f>
        <v>969428.261692464</v>
      </c>
      <c r="G21" s="298">
        <f t="shared" si="2"/>
        <v>26929.0797572542</v>
      </c>
      <c r="H21" s="298">
        <f t="shared" si="3"/>
        <v>25168.4077863323</v>
      </c>
      <c r="I21" s="298">
        <f t="shared" si="4"/>
        <v>1021525.74923605</v>
      </c>
    </row>
    <row r="22" spans="2:9">
      <c r="B22" s="804">
        <v>0</v>
      </c>
      <c r="C22" s="804">
        <v>2024</v>
      </c>
      <c r="D22" s="1010">
        <f t="shared" si="0"/>
        <v>0.0125785666566665</v>
      </c>
      <c r="E22" s="1011">
        <f t="shared" si="1"/>
        <v>1.04686946604152</v>
      </c>
      <c r="F22" s="1016">
        <f>+$F$18*E22</f>
        <v>981622.279701019</v>
      </c>
      <c r="G22" s="1016">
        <f t="shared" si="2"/>
        <v>27267.8089819835</v>
      </c>
      <c r="H22" s="1016">
        <f t="shared" si="3"/>
        <v>25484.9902813148</v>
      </c>
      <c r="I22" s="1016">
        <f t="shared" si="4"/>
        <v>1034375.07896432</v>
      </c>
    </row>
    <row r="23" ht="14.4" customHeight="1" spans="2:9">
      <c r="B23" s="209">
        <v>1</v>
      </c>
      <c r="C23" s="209">
        <v>2025</v>
      </c>
      <c r="D23" s="1013">
        <f t="shared" si="0"/>
        <v>0.0120308814608028</v>
      </c>
      <c r="E23" s="1015">
        <f t="shared" si="1"/>
        <v>1.0594642284924</v>
      </c>
      <c r="F23" s="298">
        <f t="shared" ref="F23:F61" si="5">+$F$18*E23</f>
        <v>993432.060987385</v>
      </c>
      <c r="G23" s="298">
        <f t="shared" si="2"/>
        <v>27595.8647595416</v>
      </c>
      <c r="H23" s="298">
        <f t="shared" si="3"/>
        <v>25791.597178419</v>
      </c>
      <c r="I23" s="298">
        <f t="shared" si="4"/>
        <v>1046819.52292535</v>
      </c>
    </row>
    <row r="24" spans="2:9">
      <c r="B24" s="209">
        <v>2</v>
      </c>
      <c r="C24" s="209">
        <v>2026</v>
      </c>
      <c r="D24" s="1013">
        <f t="shared" si="0"/>
        <v>0.0113100573972168</v>
      </c>
      <c r="E24" s="1015">
        <f t="shared" si="1"/>
        <v>1.07144682972695</v>
      </c>
      <c r="F24" s="298">
        <f t="shared" si="5"/>
        <v>1004667.83461739</v>
      </c>
      <c r="G24" s="298">
        <f t="shared" si="2"/>
        <v>27907.9755738978</v>
      </c>
      <c r="H24" s="298">
        <f t="shared" si="3"/>
        <v>26083.3016228729</v>
      </c>
      <c r="I24" s="298">
        <f t="shared" si="4"/>
        <v>1058659.11181416</v>
      </c>
    </row>
    <row r="25" spans="2:9">
      <c r="B25" s="209">
        <v>3</v>
      </c>
      <c r="C25" s="209">
        <v>2027</v>
      </c>
      <c r="D25" s="1013">
        <f t="shared" si="0"/>
        <v>0.0105436099240631</v>
      </c>
      <c r="E25" s="1015">
        <f t="shared" si="1"/>
        <v>1.08274374715396</v>
      </c>
      <c r="F25" s="298">
        <f t="shared" si="5"/>
        <v>1015260.66036885</v>
      </c>
      <c r="G25" s="298">
        <f t="shared" si="2"/>
        <v>28202.2263821193</v>
      </c>
      <c r="H25" s="298">
        <f t="shared" si="3"/>
        <v>26358.3137807161</v>
      </c>
      <c r="I25" s="298">
        <f t="shared" si="4"/>
        <v>1069821.20053168</v>
      </c>
    </row>
    <row r="26" spans="2:9">
      <c r="B26" s="209">
        <v>4</v>
      </c>
      <c r="C26" s="209">
        <v>2028</v>
      </c>
      <c r="D26" s="1013">
        <f t="shared" si="0"/>
        <v>0.00979350380554252</v>
      </c>
      <c r="E26" s="1015">
        <f t="shared" si="1"/>
        <v>1.09334760216214</v>
      </c>
      <c r="F26" s="298">
        <f t="shared" si="5"/>
        <v>1025203.61950979</v>
      </c>
      <c r="G26" s="298">
        <f t="shared" si="2"/>
        <v>28478.4249935174</v>
      </c>
      <c r="H26" s="298">
        <f t="shared" si="3"/>
        <v>26616.4540270352</v>
      </c>
      <c r="I26" s="298">
        <f t="shared" si="4"/>
        <v>1080298.49853034</v>
      </c>
    </row>
    <row r="27" spans="2:9">
      <c r="B27" s="209">
        <v>5</v>
      </c>
      <c r="C27" s="209">
        <v>2029</v>
      </c>
      <c r="D27" s="1013">
        <f t="shared" si="0"/>
        <v>0.00911548685545349</v>
      </c>
      <c r="E27" s="1015">
        <f t="shared" si="1"/>
        <v>1.10331399785809</v>
      </c>
      <c r="F27" s="298">
        <f t="shared" si="5"/>
        <v>1034548.84962759</v>
      </c>
      <c r="G27" s="298">
        <f t="shared" si="2"/>
        <v>28738.0197022098</v>
      </c>
      <c r="H27" s="298">
        <f t="shared" si="3"/>
        <v>26859.0759638575</v>
      </c>
      <c r="I27" s="298">
        <f t="shared" si="4"/>
        <v>1090145.94529366</v>
      </c>
    </row>
    <row r="28" spans="2:9">
      <c r="B28" s="209">
        <v>6</v>
      </c>
      <c r="C28" s="209">
        <v>2030</v>
      </c>
      <c r="D28" s="1013">
        <f t="shared" si="0"/>
        <v>0.00854542236642135</v>
      </c>
      <c r="E28" s="1015">
        <f t="shared" si="1"/>
        <v>1.11274228197258</v>
      </c>
      <c r="F28" s="298">
        <f t="shared" si="5"/>
        <v>1043389.50650635</v>
      </c>
      <c r="G28" s="298">
        <f t="shared" si="2"/>
        <v>28983.5982185397</v>
      </c>
      <c r="H28" s="298">
        <f t="shared" si="3"/>
        <v>27088.5981123404</v>
      </c>
      <c r="I28" s="298">
        <f t="shared" si="4"/>
        <v>1099461.70283723</v>
      </c>
    </row>
    <row r="29" spans="2:9">
      <c r="B29" s="209">
        <v>7</v>
      </c>
      <c r="C29" s="209">
        <v>2031</v>
      </c>
      <c r="D29" s="1013">
        <f t="shared" si="0"/>
        <v>0.00808320787688857</v>
      </c>
      <c r="E29" s="1015">
        <f t="shared" si="1"/>
        <v>1.12173680915116</v>
      </c>
      <c r="F29" s="298">
        <f t="shared" si="5"/>
        <v>1051823.44078401</v>
      </c>
      <c r="G29" s="298">
        <f t="shared" si="2"/>
        <v>29217.8786679604</v>
      </c>
      <c r="H29" s="298">
        <f t="shared" si="3"/>
        <v>27307.560881976</v>
      </c>
      <c r="I29" s="298">
        <f t="shared" si="4"/>
        <v>1108348.88033395</v>
      </c>
    </row>
    <row r="30" spans="2:9">
      <c r="B30" s="209">
        <v>8</v>
      </c>
      <c r="C30" s="209">
        <v>2032</v>
      </c>
      <c r="D30" s="1013">
        <f t="shared" si="0"/>
        <v>0.00771534280088886</v>
      </c>
      <c r="E30" s="1015">
        <f t="shared" si="1"/>
        <v>1.13039139316614</v>
      </c>
      <c r="F30" s="298">
        <f t="shared" si="5"/>
        <v>1059938.61919567</v>
      </c>
      <c r="G30" s="298">
        <f t="shared" si="2"/>
        <v>29443.3046177985</v>
      </c>
      <c r="H30" s="298">
        <f t="shared" si="3"/>
        <v>27518.2480752365</v>
      </c>
      <c r="I30" s="298">
        <f t="shared" si="4"/>
        <v>1116900.1718887</v>
      </c>
    </row>
    <row r="31" ht="18.6" customHeight="1" spans="2:9">
      <c r="B31" s="209">
        <v>9</v>
      </c>
      <c r="C31" s="209">
        <v>2033</v>
      </c>
      <c r="D31" s="1013">
        <f t="shared" si="0"/>
        <v>0.00743130697706405</v>
      </c>
      <c r="E31" s="1015">
        <f t="shared" si="1"/>
        <v>1.13879167861299</v>
      </c>
      <c r="F31" s="298">
        <f t="shared" si="5"/>
        <v>1067815.34845176</v>
      </c>
      <c r="G31" s="298">
        <f t="shared" si="2"/>
        <v>29662.1068528325</v>
      </c>
      <c r="H31" s="298">
        <f t="shared" si="3"/>
        <v>27722.7446241546</v>
      </c>
      <c r="I31" s="298">
        <f t="shared" si="4"/>
        <v>1125200.19992874</v>
      </c>
    </row>
    <row r="32" spans="2:9">
      <c r="B32" s="209">
        <v>10</v>
      </c>
      <c r="C32" s="209">
        <v>2034</v>
      </c>
      <c r="D32" s="1013">
        <f t="shared" si="0"/>
        <v>0.0072230686494662</v>
      </c>
      <c r="E32" s="1015">
        <f t="shared" si="1"/>
        <v>1.14701724908505</v>
      </c>
      <c r="F32" s="298">
        <f t="shared" si="5"/>
        <v>1075528.25201858</v>
      </c>
      <c r="G32" s="298">
        <f t="shared" si="2"/>
        <v>29876.3582869184</v>
      </c>
      <c r="H32" s="298">
        <f t="shared" si="3"/>
        <v>27922.9879117265</v>
      </c>
      <c r="I32" s="298">
        <f t="shared" si="4"/>
        <v>1133327.59821722</v>
      </c>
    </row>
    <row r="33" spans="2:9">
      <c r="B33" s="209">
        <v>11</v>
      </c>
      <c r="C33" s="209">
        <v>2035</v>
      </c>
      <c r="D33" s="1013">
        <f t="shared" si="0"/>
        <v>0.00704330193633941</v>
      </c>
      <c r="E33" s="1015">
        <f t="shared" si="1"/>
        <v>1.15509603789655</v>
      </c>
      <c r="F33" s="298">
        <f t="shared" si="5"/>
        <v>1083103.52223861</v>
      </c>
      <c r="G33" s="298">
        <f t="shared" si="2"/>
        <v>30086.7864990914</v>
      </c>
      <c r="H33" s="298">
        <f t="shared" si="3"/>
        <v>28119.6579465536</v>
      </c>
      <c r="I33" s="298">
        <f t="shared" si="4"/>
        <v>1141309.96668425</v>
      </c>
    </row>
    <row r="34" spans="2:9">
      <c r="B34" s="209">
        <v>12</v>
      </c>
      <c r="C34" s="209">
        <v>2036</v>
      </c>
      <c r="D34" s="1013">
        <f t="shared" si="0"/>
        <v>0.00687997156482224</v>
      </c>
      <c r="E34" s="1015">
        <f t="shared" si="1"/>
        <v>1.16304306579191</v>
      </c>
      <c r="F34" s="298">
        <f t="shared" si="5"/>
        <v>1090555.24367337</v>
      </c>
      <c r="G34" s="298">
        <f t="shared" si="2"/>
        <v>30293.782734682</v>
      </c>
      <c r="H34" s="298">
        <f t="shared" si="3"/>
        <v>28313.1203936384</v>
      </c>
      <c r="I34" s="298">
        <f t="shared" si="4"/>
        <v>1149162.14680169</v>
      </c>
    </row>
    <row r="35" spans="2:9">
      <c r="B35" s="209">
        <v>13</v>
      </c>
      <c r="C35" s="209">
        <v>2037</v>
      </c>
      <c r="D35" s="1013">
        <f t="shared" si="0"/>
        <v>0.00668817662332954</v>
      </c>
      <c r="E35" s="1015">
        <f t="shared" si="1"/>
        <v>1.17082170323647</v>
      </c>
      <c r="F35" s="298">
        <f t="shared" si="5"/>
        <v>1097849.06976055</v>
      </c>
      <c r="G35" s="298">
        <f t="shared" si="2"/>
        <v>30496.3929042003</v>
      </c>
      <c r="H35" s="298">
        <f t="shared" si="3"/>
        <v>28502.4835435886</v>
      </c>
      <c r="I35" s="298">
        <f t="shared" si="4"/>
        <v>1156847.94620834</v>
      </c>
    </row>
    <row r="36" spans="2:9">
      <c r="B36" s="209">
        <v>14</v>
      </c>
      <c r="C36" s="209">
        <v>2038</v>
      </c>
      <c r="D36" s="1013">
        <f t="shared" si="0"/>
        <v>0.00642542006735122</v>
      </c>
      <c r="E36" s="1015">
        <f t="shared" si="1"/>
        <v>1.17834472450374</v>
      </c>
      <c r="F36" s="298">
        <f t="shared" si="5"/>
        <v>1104903.21120432</v>
      </c>
      <c r="G36" s="298">
        <f t="shared" si="2"/>
        <v>30692.3450391488</v>
      </c>
      <c r="H36" s="298">
        <f t="shared" si="3"/>
        <v>28685.6239733189</v>
      </c>
      <c r="I36" s="298">
        <f t="shared" si="4"/>
        <v>1164281.18021678</v>
      </c>
    </row>
    <row r="37" spans="2:9">
      <c r="B37" s="209">
        <v>15</v>
      </c>
      <c r="C37" s="209">
        <v>2039</v>
      </c>
      <c r="D37" s="1013">
        <f t="shared" si="0"/>
        <v>0.00607108177387317</v>
      </c>
      <c r="E37" s="1015">
        <f t="shared" si="1"/>
        <v>1.18549855168401</v>
      </c>
      <c r="F37" s="298">
        <f t="shared" si="5"/>
        <v>1111611.16895175</v>
      </c>
      <c r="G37" s="298">
        <f t="shared" si="2"/>
        <v>30878.6807757134</v>
      </c>
      <c r="H37" s="298">
        <f t="shared" si="3"/>
        <v>28859.7767421955</v>
      </c>
      <c r="I37" s="298">
        <f t="shared" si="4"/>
        <v>1171349.62646966</v>
      </c>
    </row>
    <row r="38" spans="2:9">
      <c r="B38" s="209">
        <v>16</v>
      </c>
      <c r="C38" s="209">
        <v>2040</v>
      </c>
      <c r="D38" s="1013">
        <f t="shared" si="0"/>
        <v>0.00562654809540502</v>
      </c>
      <c r="E38" s="1015">
        <f t="shared" si="1"/>
        <v>1.19216881630209</v>
      </c>
      <c r="F38" s="298">
        <f t="shared" si="5"/>
        <v>1117865.70265725</v>
      </c>
      <c r="G38" s="298">
        <f t="shared" si="2"/>
        <v>31052.4211582206</v>
      </c>
      <c r="H38" s="298">
        <f t="shared" si="3"/>
        <v>29022.1576640582</v>
      </c>
      <c r="I38" s="298">
        <f t="shared" si="4"/>
        <v>1177940.28147953</v>
      </c>
    </row>
    <row r="39" spans="2:9">
      <c r="B39" s="209">
        <v>17</v>
      </c>
      <c r="C39" s="209">
        <v>2041</v>
      </c>
      <c r="D39" s="1013">
        <f t="shared" si="0"/>
        <v>0.00510655981396932</v>
      </c>
      <c r="E39" s="1015">
        <f t="shared" si="1"/>
        <v>1.19825669767089</v>
      </c>
      <c r="F39" s="298">
        <f t="shared" si="5"/>
        <v>1123574.15073185</v>
      </c>
      <c r="G39" s="298">
        <f t="shared" si="2"/>
        <v>31210.9922042336</v>
      </c>
      <c r="H39" s="298">
        <f t="shared" si="3"/>
        <v>29170.3610481001</v>
      </c>
      <c r="I39" s="298">
        <f t="shared" si="4"/>
        <v>1183955.50398419</v>
      </c>
    </row>
    <row r="40" spans="2:9">
      <c r="B40" s="209">
        <v>18</v>
      </c>
      <c r="C40" s="209">
        <v>2042</v>
      </c>
      <c r="D40" s="1013">
        <f t="shared" si="0"/>
        <v>0.00456819937687579</v>
      </c>
      <c r="E40" s="1015">
        <f t="shared" si="1"/>
        <v>1.20373057317053</v>
      </c>
      <c r="F40" s="298">
        <f t="shared" si="5"/>
        <v>1128706.8614671</v>
      </c>
      <c r="G40" s="298">
        <f t="shared" si="2"/>
        <v>31353.5702393727</v>
      </c>
      <c r="H40" s="298">
        <f t="shared" si="3"/>
        <v>29303.6170732633</v>
      </c>
      <c r="I40" s="298">
        <f t="shared" si="4"/>
        <v>1189364.04877974</v>
      </c>
    </row>
    <row r="41" spans="2:9">
      <c r="B41" s="209">
        <v>19</v>
      </c>
      <c r="C41" s="209">
        <v>2043</v>
      </c>
      <c r="D41" s="1013">
        <f t="shared" si="0"/>
        <v>0.00403536974324295</v>
      </c>
      <c r="E41" s="1015">
        <f t="shared" si="1"/>
        <v>1.20858807110451</v>
      </c>
      <c r="F41" s="298">
        <f t="shared" si="5"/>
        <v>1133261.61098485</v>
      </c>
      <c r="G41" s="298">
        <f t="shared" si="2"/>
        <v>31480.0934880593</v>
      </c>
      <c r="H41" s="298">
        <f t="shared" si="3"/>
        <v>29421.8680029683</v>
      </c>
      <c r="I41" s="298">
        <f t="shared" si="4"/>
        <v>1194163.57247588</v>
      </c>
    </row>
    <row r="42" spans="2:9">
      <c r="B42" s="209">
        <v>20</v>
      </c>
      <c r="C42" s="209">
        <v>2044</v>
      </c>
      <c r="D42" s="1013">
        <f t="shared" si="0"/>
        <v>0.00355472351084493</v>
      </c>
      <c r="E42" s="1015">
        <f t="shared" si="1"/>
        <v>1.2128842675358</v>
      </c>
      <c r="F42" s="298">
        <f t="shared" si="5"/>
        <v>1137290.04267736</v>
      </c>
      <c r="G42" s="298">
        <f t="shared" si="2"/>
        <v>31591.9965165049</v>
      </c>
      <c r="H42" s="298">
        <f t="shared" si="3"/>
        <v>29526.4546088914</v>
      </c>
      <c r="I42" s="298">
        <f t="shared" si="4"/>
        <v>1198408.49380276</v>
      </c>
    </row>
    <row r="43" spans="2:9">
      <c r="B43" s="209">
        <v>21</v>
      </c>
      <c r="C43" s="209">
        <v>2045</v>
      </c>
      <c r="D43" s="1013">
        <f t="shared" si="0"/>
        <v>0.00311997905529381</v>
      </c>
      <c r="E43" s="1015">
        <f t="shared" si="1"/>
        <v>1.216668441047</v>
      </c>
      <c r="F43" s="298">
        <f t="shared" si="5"/>
        <v>1140838.36379031</v>
      </c>
      <c r="G43" s="298">
        <f t="shared" si="2"/>
        <v>31690.5628839513</v>
      </c>
      <c r="H43" s="298">
        <f t="shared" si="3"/>
        <v>29618.5765288483</v>
      </c>
      <c r="I43" s="298">
        <f t="shared" si="4"/>
        <v>1202147.50320311</v>
      </c>
    </row>
    <row r="44" spans="2:9">
      <c r="B44" s="209">
        <v>22</v>
      </c>
      <c r="C44" s="209">
        <v>2046</v>
      </c>
      <c r="D44" s="1013">
        <f t="shared" si="0"/>
        <v>0.00275051413756469</v>
      </c>
      <c r="E44" s="1015">
        <f t="shared" si="1"/>
        <v>1.22001490479483</v>
      </c>
      <c r="F44" s="298">
        <f t="shared" si="5"/>
        <v>1143976.25583859</v>
      </c>
      <c r="G44" s="298">
        <f t="shared" si="2"/>
        <v>31777.728225191</v>
      </c>
      <c r="H44" s="298">
        <f t="shared" si="3"/>
        <v>29700.0428423254</v>
      </c>
      <c r="I44" s="298">
        <f t="shared" si="4"/>
        <v>1205454.02690611</v>
      </c>
    </row>
    <row r="45" spans="2:9">
      <c r="B45" s="209">
        <v>23</v>
      </c>
      <c r="C45" s="209">
        <v>2047</v>
      </c>
      <c r="D45" s="1013">
        <f t="shared" si="0"/>
        <v>0.00244402713464116</v>
      </c>
      <c r="E45" s="1015">
        <f t="shared" si="1"/>
        <v>1.22299665432682</v>
      </c>
      <c r="F45" s="298">
        <f t="shared" si="5"/>
        <v>1146772.16484924</v>
      </c>
      <c r="G45" s="298">
        <f t="shared" si="2"/>
        <v>31855.3938552506</v>
      </c>
      <c r="H45" s="298">
        <f t="shared" si="3"/>
        <v>29772.630552932</v>
      </c>
      <c r="I45" s="298">
        <f t="shared" si="4"/>
        <v>1208400.18925743</v>
      </c>
    </row>
    <row r="46" spans="2:9">
      <c r="B46" s="209">
        <v>24</v>
      </c>
      <c r="C46" s="209">
        <v>2048</v>
      </c>
      <c r="D46" s="1013">
        <f t="shared" si="0"/>
        <v>0.00219393837795512</v>
      </c>
      <c r="E46" s="1015">
        <f t="shared" si="1"/>
        <v>1.22567983362286</v>
      </c>
      <c r="F46" s="298">
        <f t="shared" si="5"/>
        <v>1149288.11231248</v>
      </c>
      <c r="G46" s="298">
        <f t="shared" si="2"/>
        <v>31925.2826263745</v>
      </c>
      <c r="H46" s="298">
        <f t="shared" si="3"/>
        <v>29837.9498697148</v>
      </c>
      <c r="I46" s="298">
        <f t="shared" si="4"/>
        <v>1211051.34480857</v>
      </c>
    </row>
    <row r="47" spans="2:9">
      <c r="B47" s="209">
        <v>25</v>
      </c>
      <c r="C47" s="209">
        <v>2049</v>
      </c>
      <c r="D47" s="1013">
        <f t="shared" si="0"/>
        <v>0.00198338002786837</v>
      </c>
      <c r="E47" s="1015">
        <f t="shared" si="1"/>
        <v>1.22811082252542</v>
      </c>
      <c r="F47" s="298">
        <f t="shared" si="5"/>
        <v>1151567.5874007</v>
      </c>
      <c r="G47" s="298">
        <f t="shared" si="2"/>
        <v>31988.6025943197</v>
      </c>
      <c r="H47" s="298">
        <f t="shared" si="3"/>
        <v>29897.1298635589</v>
      </c>
      <c r="I47" s="298">
        <f t="shared" si="4"/>
        <v>1213453.31985858</v>
      </c>
    </row>
    <row r="48" spans="2:9">
      <c r="B48" s="209">
        <v>26</v>
      </c>
      <c r="C48" s="209">
        <v>2050</v>
      </c>
      <c r="D48" s="1013">
        <f t="shared" si="0"/>
        <v>0.00179770902605283</v>
      </c>
      <c r="E48" s="1015">
        <f t="shared" si="1"/>
        <v>1.23031860843607</v>
      </c>
      <c r="F48" s="298">
        <f t="shared" si="5"/>
        <v>1153637.77084668</v>
      </c>
      <c r="G48" s="298">
        <f t="shared" si="2"/>
        <v>32046.1087939343</v>
      </c>
      <c r="H48" s="298">
        <f t="shared" si="3"/>
        <v>29950.8762037677</v>
      </c>
      <c r="I48" s="298">
        <f t="shared" si="4"/>
        <v>1215634.75584439</v>
      </c>
    </row>
    <row r="49" spans="2:9">
      <c r="B49" s="209">
        <v>27</v>
      </c>
      <c r="C49" s="209">
        <v>2051</v>
      </c>
      <c r="D49" s="1013">
        <f t="shared" si="0"/>
        <v>0.00161092231460471</v>
      </c>
      <c r="E49" s="1015">
        <f t="shared" si="1"/>
        <v>1.23230055613647</v>
      </c>
      <c r="F49" s="298">
        <f t="shared" si="5"/>
        <v>1155496.19167471</v>
      </c>
      <c r="G49" s="298">
        <f t="shared" si="2"/>
        <v>32097.7325856868</v>
      </c>
      <c r="H49" s="298">
        <f t="shared" si="3"/>
        <v>29999.1247385863</v>
      </c>
      <c r="I49" s="298">
        <f t="shared" si="4"/>
        <v>1217593.04899899</v>
      </c>
    </row>
    <row r="50" spans="2:9">
      <c r="B50" s="209">
        <v>28</v>
      </c>
      <c r="C50" s="209">
        <v>2052</v>
      </c>
      <c r="D50" s="1013">
        <f t="shared" si="0"/>
        <v>0.001408813639061</v>
      </c>
      <c r="E50" s="1015">
        <f t="shared" si="1"/>
        <v>1.23403663796738</v>
      </c>
      <c r="F50" s="298">
        <f t="shared" si="5"/>
        <v>1157124.07046943</v>
      </c>
      <c r="G50" s="298">
        <f t="shared" si="2"/>
        <v>32142.9523091364</v>
      </c>
      <c r="H50" s="298">
        <f t="shared" si="3"/>
        <v>30041.387914678</v>
      </c>
      <c r="I50" s="298">
        <f t="shared" si="4"/>
        <v>1219308.41069324</v>
      </c>
    </row>
    <row r="51" spans="2:9">
      <c r="B51" s="209">
        <v>29</v>
      </c>
      <c r="C51" s="209">
        <v>2053</v>
      </c>
      <c r="D51" s="1013">
        <f t="shared" si="0"/>
        <v>0.00116232313437314</v>
      </c>
      <c r="E51" s="1015">
        <f t="shared" si="1"/>
        <v>1.23547098730036</v>
      </c>
      <c r="F51" s="298">
        <f t="shared" si="5"/>
        <v>1158469.02254587</v>
      </c>
      <c r="G51" s="298">
        <f t="shared" si="2"/>
        <v>32180.3128062124</v>
      </c>
      <c r="H51" s="298">
        <f t="shared" si="3"/>
        <v>30076.3057148399</v>
      </c>
      <c r="I51" s="298">
        <f t="shared" si="4"/>
        <v>1220725.64106693</v>
      </c>
    </row>
    <row r="52" spans="2:9">
      <c r="B52" s="209">
        <v>30</v>
      </c>
      <c r="C52" s="209">
        <v>2054</v>
      </c>
      <c r="D52" s="1013">
        <f t="shared" si="0"/>
        <v>0.000858092453862866</v>
      </c>
      <c r="E52" s="1015">
        <f t="shared" si="1"/>
        <v>1.23653113563152</v>
      </c>
      <c r="F52" s="298">
        <f t="shared" si="5"/>
        <v>1159463.09607215</v>
      </c>
      <c r="G52" s="298">
        <f t="shared" si="2"/>
        <v>32207.9264897943</v>
      </c>
      <c r="H52" s="298">
        <f t="shared" si="3"/>
        <v>30102.1139658138</v>
      </c>
      <c r="I52" s="298">
        <f t="shared" si="4"/>
        <v>1221773.13652776</v>
      </c>
    </row>
    <row r="53" spans="2:9">
      <c r="B53" s="209">
        <v>31</v>
      </c>
      <c r="C53" s="209">
        <v>2055</v>
      </c>
      <c r="D53" s="1013">
        <f t="shared" si="0"/>
        <v>0.000501669853072962</v>
      </c>
      <c r="E53" s="1015">
        <f t="shared" si="1"/>
        <v>1.23715146602466</v>
      </c>
      <c r="F53" s="298">
        <f t="shared" si="5"/>
        <v>1160044.7637532</v>
      </c>
      <c r="G53" s="298">
        <f t="shared" si="2"/>
        <v>32224.0842355442</v>
      </c>
      <c r="H53" s="298">
        <f t="shared" si="3"/>
        <v>30117.2152889042</v>
      </c>
      <c r="I53" s="298">
        <f t="shared" si="4"/>
        <v>1222386.06327765</v>
      </c>
    </row>
    <row r="54" spans="2:9">
      <c r="B54" s="209">
        <v>32</v>
      </c>
      <c r="C54" s="209">
        <v>2056</v>
      </c>
      <c r="D54" s="1013">
        <f t="shared" si="0"/>
        <v>0.000115236747614269</v>
      </c>
      <c r="E54" s="1015">
        <f t="shared" si="1"/>
        <v>1.23729403133591</v>
      </c>
      <c r="F54" s="298">
        <f t="shared" si="5"/>
        <v>1160178.44353887</v>
      </c>
      <c r="G54" s="298">
        <f t="shared" si="2"/>
        <v>32227.7976342064</v>
      </c>
      <c r="H54" s="298">
        <f t="shared" si="3"/>
        <v>30120.6858988413</v>
      </c>
      <c r="I54" s="298">
        <f t="shared" si="4"/>
        <v>1222526.92707191</v>
      </c>
    </row>
    <row r="55" spans="2:9">
      <c r="B55" s="209">
        <v>33</v>
      </c>
      <c r="C55" s="209">
        <v>2057</v>
      </c>
      <c r="D55" s="1013">
        <f t="shared" si="0"/>
        <v>-0.000287952182899048</v>
      </c>
      <c r="E55" s="1015">
        <f t="shared" si="1"/>
        <v>1.2369377498187</v>
      </c>
      <c r="F55" s="298">
        <f t="shared" si="5"/>
        <v>1159844.3676235</v>
      </c>
      <c r="G55" s="298">
        <f t="shared" si="2"/>
        <v>32218.5175695276</v>
      </c>
      <c r="H55" s="298">
        <f t="shared" si="3"/>
        <v>30112.0125815864</v>
      </c>
      <c r="I55" s="298">
        <f t="shared" si="4"/>
        <v>1222174.89777461</v>
      </c>
    </row>
    <row r="56" spans="2:9">
      <c r="B56" s="209">
        <v>34</v>
      </c>
      <c r="C56" s="209">
        <v>2058</v>
      </c>
      <c r="D56" s="1013">
        <f t="shared" si="0"/>
        <v>-0.000681313849205943</v>
      </c>
      <c r="E56" s="1015">
        <f t="shared" si="1"/>
        <v>1.23609500699914</v>
      </c>
      <c r="F56" s="298">
        <f t="shared" si="5"/>
        <v>1159054.14959291</v>
      </c>
      <c r="G56" s="298">
        <f t="shared" si="2"/>
        <v>32196.5666473066</v>
      </c>
      <c r="H56" s="298">
        <f t="shared" si="3"/>
        <v>30091.4968503871</v>
      </c>
      <c r="I56" s="298">
        <f t="shared" si="4"/>
        <v>1221342.21309061</v>
      </c>
    </row>
    <row r="57" spans="2:9">
      <c r="B57" s="209">
        <v>35</v>
      </c>
      <c r="C57" s="209">
        <v>2059</v>
      </c>
      <c r="D57" s="1013">
        <f t="shared" si="0"/>
        <v>-0.00104761064188217</v>
      </c>
      <c r="E57" s="1015">
        <f t="shared" si="1"/>
        <v>1.23480006071543</v>
      </c>
      <c r="F57" s="298">
        <f t="shared" si="5"/>
        <v>1157839.91213128</v>
      </c>
      <c r="G57" s="298">
        <f t="shared" si="2"/>
        <v>32162.8371814548</v>
      </c>
      <c r="H57" s="298">
        <f t="shared" si="3"/>
        <v>30059.9726780564</v>
      </c>
      <c r="I57" s="298">
        <f t="shared" si="4"/>
        <v>1220062.72199079</v>
      </c>
    </row>
    <row r="58" spans="2:9">
      <c r="B58" s="209">
        <v>36</v>
      </c>
      <c r="C58" s="209">
        <v>2060</v>
      </c>
      <c r="D58" s="1013">
        <f t="shared" si="0"/>
        <v>-0.0013739500102438</v>
      </c>
      <c r="E58" s="1015">
        <f t="shared" si="1"/>
        <v>1.23310350715936</v>
      </c>
      <c r="F58" s="298">
        <f t="shared" si="5"/>
        <v>1156249.09797215</v>
      </c>
      <c r="G58" s="298">
        <f t="shared" si="2"/>
        <v>32118.6470509799</v>
      </c>
      <c r="H58" s="298">
        <f t="shared" si="3"/>
        <v>30018.6717782875</v>
      </c>
      <c r="I58" s="298">
        <f t="shared" si="4"/>
        <v>1218386.41680141</v>
      </c>
    </row>
    <row r="59" spans="2:9">
      <c r="B59" s="209">
        <v>37</v>
      </c>
      <c r="C59" s="209">
        <v>2061</v>
      </c>
      <c r="D59" s="1013">
        <f t="shared" si="0"/>
        <v>-0.0016662670361219</v>
      </c>
      <c r="E59" s="1015">
        <f t="shared" si="1"/>
        <v>1.23104882743326</v>
      </c>
      <c r="F59" s="298">
        <f t="shared" si="5"/>
        <v>1154322.47821465</v>
      </c>
      <c r="G59" s="298">
        <f t="shared" si="2"/>
        <v>32065.128808154</v>
      </c>
      <c r="H59" s="298">
        <f t="shared" si="3"/>
        <v>29968.6526550352</v>
      </c>
      <c r="I59" s="298">
        <f t="shared" si="4"/>
        <v>1216356.25967784</v>
      </c>
    </row>
    <row r="60" spans="2:9">
      <c r="B60" s="209">
        <v>38</v>
      </c>
      <c r="C60" s="209">
        <v>2062</v>
      </c>
      <c r="D60" s="1013">
        <f t="shared" si="0"/>
        <v>-0.00191800322164604</v>
      </c>
      <c r="E60" s="1015">
        <f t="shared" si="1"/>
        <v>1.22868767181623</v>
      </c>
      <c r="F60" s="298">
        <f t="shared" si="5"/>
        <v>1152108.48398262</v>
      </c>
      <c r="G60" s="298">
        <f t="shared" si="2"/>
        <v>32003.6277877975</v>
      </c>
      <c r="H60" s="298">
        <f t="shared" si="3"/>
        <v>29911.1726826944</v>
      </c>
      <c r="I60" s="298">
        <f t="shared" si="4"/>
        <v>1214023.28445311</v>
      </c>
    </row>
    <row r="61" spans="2:9">
      <c r="B61" s="209">
        <v>39</v>
      </c>
      <c r="C61" s="209">
        <v>2063</v>
      </c>
      <c r="D61" s="1013">
        <f t="shared" si="0"/>
        <v>-0.00212522506388651</v>
      </c>
      <c r="E61" s="1015">
        <f t="shared" si="1"/>
        <v>1.2260764339804</v>
      </c>
      <c r="F61" s="298">
        <f t="shared" si="5"/>
        <v>1149659.99415614</v>
      </c>
      <c r="G61" s="298">
        <f t="shared" si="2"/>
        <v>31935.6128758875</v>
      </c>
      <c r="H61" s="298">
        <f t="shared" si="3"/>
        <v>29847.6047088189</v>
      </c>
      <c r="I61" s="298">
        <f t="shared" si="4"/>
        <v>1211443.21174085</v>
      </c>
    </row>
    <row r="62" spans="2:2">
      <c r="B62" s="1017" t="s">
        <v>258</v>
      </c>
    </row>
    <row r="65" spans="2:4">
      <c r="B65" s="1003" t="s">
        <v>259</v>
      </c>
      <c r="C65" s="4"/>
      <c r="D65" s="4"/>
    </row>
    <row r="66" ht="45" spans="2:4">
      <c r="B66" s="1019" t="s">
        <v>200</v>
      </c>
      <c r="C66" s="1019" t="s">
        <v>260</v>
      </c>
      <c r="D66" s="1020" t="s">
        <v>261</v>
      </c>
    </row>
    <row r="67" spans="2:4">
      <c r="B67" s="209">
        <v>2020</v>
      </c>
      <c r="C67" s="298">
        <v>3794752</v>
      </c>
      <c r="D67" s="298" t="s">
        <v>262</v>
      </c>
    </row>
    <row r="68" spans="2:4">
      <c r="B68" s="209">
        <v>2021</v>
      </c>
      <c r="C68" s="298">
        <v>3830490</v>
      </c>
      <c r="D68" s="1021">
        <f>+(C68-C67)/C67</f>
        <v>0.00941774324119205</v>
      </c>
    </row>
    <row r="69" spans="2:4">
      <c r="B69" s="209">
        <v>2022</v>
      </c>
      <c r="C69" s="298">
        <v>3873287</v>
      </c>
      <c r="D69" s="1021">
        <f t="shared" ref="D69:D118" si="6">+(C69-C68)/C68</f>
        <v>0.0111727220277301</v>
      </c>
    </row>
    <row r="70" spans="2:4">
      <c r="B70" s="209">
        <v>2023</v>
      </c>
      <c r="C70" s="298">
        <v>3923261</v>
      </c>
      <c r="D70" s="1021">
        <f t="shared" si="6"/>
        <v>0.0129022197425597</v>
      </c>
    </row>
    <row r="71" spans="2:4">
      <c r="B71" s="209">
        <v>2024</v>
      </c>
      <c r="C71" s="298">
        <v>3972610</v>
      </c>
      <c r="D71" s="1021">
        <f t="shared" si="6"/>
        <v>0.0125785666566665</v>
      </c>
    </row>
    <row r="72" spans="2:4">
      <c r="B72" s="209">
        <v>2025</v>
      </c>
      <c r="C72" s="298">
        <v>4020404</v>
      </c>
      <c r="D72" s="1021">
        <f t="shared" si="6"/>
        <v>0.0120308814608028</v>
      </c>
    </row>
    <row r="73" spans="2:4">
      <c r="B73" s="209">
        <v>2026</v>
      </c>
      <c r="C73" s="298">
        <v>4065875</v>
      </c>
      <c r="D73" s="1021">
        <f t="shared" si="6"/>
        <v>0.0113100573972168</v>
      </c>
    </row>
    <row r="74" spans="2:4">
      <c r="B74" s="209">
        <v>2027</v>
      </c>
      <c r="C74" s="298">
        <v>4108744</v>
      </c>
      <c r="D74" s="1021">
        <f t="shared" si="6"/>
        <v>0.0105436099240631</v>
      </c>
    </row>
    <row r="75" spans="2:4">
      <c r="B75" s="209">
        <v>2028</v>
      </c>
      <c r="C75" s="298">
        <v>4148983</v>
      </c>
      <c r="D75" s="1021">
        <f t="shared" si="6"/>
        <v>0.00979350380554252</v>
      </c>
    </row>
    <row r="76" spans="2:4">
      <c r="B76" s="209">
        <v>2029</v>
      </c>
      <c r="C76" s="298">
        <v>4186803</v>
      </c>
      <c r="D76" s="1021">
        <f t="shared" si="6"/>
        <v>0.00911548685545349</v>
      </c>
    </row>
    <row r="77" spans="2:4">
      <c r="B77" s="209">
        <v>2030</v>
      </c>
      <c r="C77" s="298">
        <v>4222581</v>
      </c>
      <c r="D77" s="1021">
        <f t="shared" si="6"/>
        <v>0.00854542236642135</v>
      </c>
    </row>
    <row r="78" spans="2:4">
      <c r="B78" s="209">
        <v>2031</v>
      </c>
      <c r="C78" s="298">
        <v>4256713</v>
      </c>
      <c r="D78" s="1021">
        <f t="shared" si="6"/>
        <v>0.00808320787688857</v>
      </c>
    </row>
    <row r="79" spans="2:4">
      <c r="B79" s="209">
        <v>2032</v>
      </c>
      <c r="C79" s="298">
        <v>4289555</v>
      </c>
      <c r="D79" s="1021">
        <f t="shared" si="6"/>
        <v>0.00771534280088886</v>
      </c>
    </row>
    <row r="80" spans="2:4">
      <c r="B80" s="209">
        <v>2033</v>
      </c>
      <c r="C80" s="298">
        <v>4321432</v>
      </c>
      <c r="D80" s="1021">
        <f t="shared" si="6"/>
        <v>0.00743130697706405</v>
      </c>
    </row>
    <row r="81" spans="2:4">
      <c r="B81" s="209">
        <v>2034</v>
      </c>
      <c r="C81" s="298">
        <v>4352646</v>
      </c>
      <c r="D81" s="1021">
        <f t="shared" si="6"/>
        <v>0.0072230686494662</v>
      </c>
    </row>
    <row r="82" spans="2:4">
      <c r="B82" s="209">
        <v>2035</v>
      </c>
      <c r="C82" s="298">
        <v>4383303</v>
      </c>
      <c r="D82" s="1021">
        <f t="shared" si="6"/>
        <v>0.00704330193633941</v>
      </c>
    </row>
    <row r="83" spans="2:4">
      <c r="B83" s="209">
        <v>2036</v>
      </c>
      <c r="C83" s="298">
        <v>4413460</v>
      </c>
      <c r="D83" s="1021">
        <f t="shared" si="6"/>
        <v>0.00687997156482224</v>
      </c>
    </row>
    <row r="84" spans="2:4">
      <c r="B84" s="209">
        <v>2037</v>
      </c>
      <c r="C84" s="298">
        <v>4442978</v>
      </c>
      <c r="D84" s="1021">
        <f t="shared" si="6"/>
        <v>0.00668817662332954</v>
      </c>
    </row>
    <row r="85" spans="2:4">
      <c r="B85" s="209">
        <v>2038</v>
      </c>
      <c r="C85" s="298">
        <v>4471526</v>
      </c>
      <c r="D85" s="1021">
        <f t="shared" si="6"/>
        <v>0.00642542006735122</v>
      </c>
    </row>
    <row r="86" spans="2:4">
      <c r="B86" s="209">
        <v>2039</v>
      </c>
      <c r="C86" s="298">
        <v>4498673</v>
      </c>
      <c r="D86" s="1021">
        <f t="shared" si="6"/>
        <v>0.00607108177387317</v>
      </c>
    </row>
    <row r="87" spans="2:4">
      <c r="B87" s="209">
        <v>2040</v>
      </c>
      <c r="C87" s="298">
        <v>4523985</v>
      </c>
      <c r="D87" s="1021">
        <f t="shared" si="6"/>
        <v>0.00562654809540502</v>
      </c>
    </row>
    <row r="88" spans="2:4">
      <c r="B88" s="209">
        <v>2041</v>
      </c>
      <c r="C88" s="298">
        <v>4547087</v>
      </c>
      <c r="D88" s="1021">
        <f t="shared" si="6"/>
        <v>0.00510655981396932</v>
      </c>
    </row>
    <row r="89" spans="2:4">
      <c r="B89" s="209">
        <v>2042</v>
      </c>
      <c r="C89" s="298">
        <v>4567859</v>
      </c>
      <c r="D89" s="1021">
        <f t="shared" si="6"/>
        <v>0.00456819937687579</v>
      </c>
    </row>
    <row r="90" spans="2:4">
      <c r="B90" s="209">
        <v>2043</v>
      </c>
      <c r="C90" s="298">
        <v>4586292</v>
      </c>
      <c r="D90" s="1021">
        <f t="shared" si="6"/>
        <v>0.00403536974324295</v>
      </c>
    </row>
    <row r="91" spans="2:4">
      <c r="B91" s="209">
        <v>2044</v>
      </c>
      <c r="C91" s="298">
        <v>4602595</v>
      </c>
      <c r="D91" s="1021">
        <f t="shared" si="6"/>
        <v>0.00355472351084493</v>
      </c>
    </row>
    <row r="92" spans="2:4">
      <c r="B92" s="209">
        <v>2045</v>
      </c>
      <c r="C92" s="298">
        <v>4616955</v>
      </c>
      <c r="D92" s="1021">
        <f t="shared" si="6"/>
        <v>0.00311997905529381</v>
      </c>
    </row>
    <row r="93" spans="2:4">
      <c r="B93" s="209">
        <v>2046</v>
      </c>
      <c r="C93" s="298">
        <v>4629654</v>
      </c>
      <c r="D93" s="1021">
        <f t="shared" si="6"/>
        <v>0.00275051413756469</v>
      </c>
    </row>
    <row r="94" spans="2:4">
      <c r="B94" s="209">
        <v>2047</v>
      </c>
      <c r="C94" s="298">
        <v>4640969</v>
      </c>
      <c r="D94" s="1021">
        <f t="shared" si="6"/>
        <v>0.00244402713464116</v>
      </c>
    </row>
    <row r="95" spans="2:4">
      <c r="B95" s="209">
        <v>2048</v>
      </c>
      <c r="C95" s="298">
        <v>4651151</v>
      </c>
      <c r="D95" s="1021">
        <f t="shared" si="6"/>
        <v>0.00219393837795512</v>
      </c>
    </row>
    <row r="96" spans="2:4">
      <c r="B96" s="209">
        <v>2049</v>
      </c>
      <c r="C96" s="298">
        <v>4660376</v>
      </c>
      <c r="D96" s="1021">
        <f t="shared" si="6"/>
        <v>0.00198338002786837</v>
      </c>
    </row>
    <row r="97" spans="2:4">
      <c r="B97" s="209">
        <v>2050</v>
      </c>
      <c r="C97" s="298">
        <v>4668754</v>
      </c>
      <c r="D97" s="1021">
        <f t="shared" si="6"/>
        <v>0.00179770902605283</v>
      </c>
    </row>
    <row r="98" spans="2:4">
      <c r="B98" s="209">
        <v>2051</v>
      </c>
      <c r="C98" s="298">
        <v>4676275</v>
      </c>
      <c r="D98" s="1021">
        <f t="shared" si="6"/>
        <v>0.00161092231460471</v>
      </c>
    </row>
    <row r="99" spans="2:4">
      <c r="B99" s="209">
        <v>2052</v>
      </c>
      <c r="C99" s="298">
        <v>4682863</v>
      </c>
      <c r="D99" s="1021">
        <f t="shared" si="6"/>
        <v>0.001408813639061</v>
      </c>
    </row>
    <row r="100" spans="2:4">
      <c r="B100" s="209">
        <v>2053</v>
      </c>
      <c r="C100" s="298">
        <v>4688306</v>
      </c>
      <c r="D100" s="1021">
        <f t="shared" si="6"/>
        <v>0.00116232313437314</v>
      </c>
    </row>
    <row r="101" spans="2:4">
      <c r="B101" s="209">
        <v>2054</v>
      </c>
      <c r="C101" s="298">
        <v>4692329</v>
      </c>
      <c r="D101" s="1021">
        <f t="shared" si="6"/>
        <v>0.000858092453862866</v>
      </c>
    </row>
    <row r="102" spans="2:4">
      <c r="B102" s="209">
        <v>2055</v>
      </c>
      <c r="C102" s="298">
        <v>4694683</v>
      </c>
      <c r="D102" s="1021">
        <f t="shared" si="6"/>
        <v>0.000501669853072962</v>
      </c>
    </row>
    <row r="103" spans="2:4">
      <c r="B103" s="209">
        <v>2056</v>
      </c>
      <c r="C103" s="298">
        <v>4695224</v>
      </c>
      <c r="D103" s="1021">
        <f t="shared" si="6"/>
        <v>0.000115236747614269</v>
      </c>
    </row>
    <row r="104" spans="2:4">
      <c r="B104" s="209">
        <v>2057</v>
      </c>
      <c r="C104" s="298">
        <v>4693872</v>
      </c>
      <c r="D104" s="1021">
        <f t="shared" si="6"/>
        <v>-0.000287952182899048</v>
      </c>
    </row>
    <row r="105" spans="2:4">
      <c r="B105" s="209">
        <v>2058</v>
      </c>
      <c r="C105" s="298">
        <v>4690674</v>
      </c>
      <c r="D105" s="1021">
        <f t="shared" si="6"/>
        <v>-0.000681313849205943</v>
      </c>
    </row>
    <row r="106" spans="2:4">
      <c r="B106" s="209">
        <v>2059</v>
      </c>
      <c r="C106" s="298">
        <v>4685760</v>
      </c>
      <c r="D106" s="1021">
        <f t="shared" si="6"/>
        <v>-0.00104761064188217</v>
      </c>
    </row>
    <row r="107" spans="2:4">
      <c r="B107" s="209">
        <v>2060</v>
      </c>
      <c r="C107" s="298">
        <v>4679322</v>
      </c>
      <c r="D107" s="1021">
        <f t="shared" si="6"/>
        <v>-0.0013739500102438</v>
      </c>
    </row>
    <row r="108" spans="2:4">
      <c r="B108" s="209">
        <v>2061</v>
      </c>
      <c r="C108" s="298">
        <v>4671525</v>
      </c>
      <c r="D108" s="1021">
        <f t="shared" si="6"/>
        <v>-0.0016662670361219</v>
      </c>
    </row>
    <row r="109" spans="2:4">
      <c r="B109" s="209">
        <v>2062</v>
      </c>
      <c r="C109" s="298">
        <v>4662565</v>
      </c>
      <c r="D109" s="1021">
        <f t="shared" si="6"/>
        <v>-0.00191800322164604</v>
      </c>
    </row>
    <row r="110" spans="2:4">
      <c r="B110" s="209">
        <v>2063</v>
      </c>
      <c r="C110" s="298">
        <v>4652656</v>
      </c>
      <c r="D110" s="1021">
        <f t="shared" si="6"/>
        <v>-0.00212522506388651</v>
      </c>
    </row>
    <row r="111" spans="2:4">
      <c r="B111" s="209">
        <v>2064</v>
      </c>
      <c r="C111" s="298">
        <v>4641882</v>
      </c>
      <c r="D111" s="1021">
        <f t="shared" si="6"/>
        <v>-0.00231566657840167</v>
      </c>
    </row>
    <row r="112" spans="2:4">
      <c r="B112" s="209">
        <v>2065</v>
      </c>
      <c r="C112" s="298">
        <v>4630320</v>
      </c>
      <c r="D112" s="1021">
        <f t="shared" si="6"/>
        <v>-0.00249080006773115</v>
      </c>
    </row>
    <row r="113" spans="2:4">
      <c r="B113" s="209">
        <v>2066</v>
      </c>
      <c r="C113" s="298">
        <v>4617974</v>
      </c>
      <c r="D113" s="1021">
        <f t="shared" si="6"/>
        <v>-0.00266633839561845</v>
      </c>
    </row>
    <row r="114" spans="2:4">
      <c r="B114" s="209">
        <v>2067</v>
      </c>
      <c r="C114" s="298">
        <v>4604772</v>
      </c>
      <c r="D114" s="1021">
        <f t="shared" si="6"/>
        <v>-0.00285882943472614</v>
      </c>
    </row>
    <row r="115" spans="2:4">
      <c r="B115" s="209">
        <v>2068</v>
      </c>
      <c r="C115" s="298">
        <v>4590616</v>
      </c>
      <c r="D115" s="1021">
        <f t="shared" si="6"/>
        <v>-0.0030742021537657</v>
      </c>
    </row>
    <row r="116" spans="2:4">
      <c r="B116" s="209">
        <v>2069</v>
      </c>
      <c r="C116" s="298">
        <v>4575342</v>
      </c>
      <c r="D116" s="1021">
        <f t="shared" si="6"/>
        <v>-0.00332722231613361</v>
      </c>
    </row>
    <row r="117" spans="2:4">
      <c r="B117" s="209">
        <v>2070</v>
      </c>
      <c r="C117" s="298">
        <v>4558837</v>
      </c>
      <c r="D117" s="1021">
        <f t="shared" si="6"/>
        <v>-0.00360738060673934</v>
      </c>
    </row>
    <row r="118" spans="2:4">
      <c r="B118" s="209">
        <v>2071</v>
      </c>
      <c r="C118" s="298">
        <v>4541014</v>
      </c>
      <c r="D118" s="1021">
        <f t="shared" si="6"/>
        <v>-0.00390954973823368</v>
      </c>
    </row>
    <row r="119" spans="2:4">
      <c r="B119" t="s">
        <v>263</v>
      </c>
      <c r="D119" s="1022"/>
    </row>
  </sheetData>
  <mergeCells count="5">
    <mergeCell ref="B2:S2"/>
    <mergeCell ref="B4:S4"/>
    <mergeCell ref="B16:C16"/>
    <mergeCell ref="D16:E16"/>
    <mergeCell ref="F16:I16"/>
  </mergeCells>
  <pageMargins left="0.7" right="0.7" top="0.75" bottom="0.75" header="0.3" footer="0.3"/>
  <headerFooter/>
  <ignoredErrors>
    <ignoredError sqref="I18" formulaRange="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2:V136"/>
  <sheetViews>
    <sheetView workbookViewId="0">
      <selection activeCell="E50" sqref="E50"/>
    </sheetView>
  </sheetViews>
  <sheetFormatPr defaultColWidth="11.552380952381" defaultRowHeight="12"/>
  <cols>
    <col min="1" max="1" width="2.55238095238095" style="345" customWidth="1"/>
    <col min="2" max="2" width="39.552380952381" style="345" customWidth="1"/>
    <col min="3" max="3" width="16.6666666666667" style="345" customWidth="1"/>
    <col min="4" max="4" width="15.6666666666667" style="345" customWidth="1"/>
    <col min="5" max="5" width="16.6666666666667" style="345" customWidth="1"/>
    <col min="6" max="6" width="15.3333333333333" style="345" customWidth="1"/>
    <col min="7" max="7" width="13.552380952381" style="345" customWidth="1"/>
    <col min="8" max="8" width="14" style="345" customWidth="1"/>
    <col min="9" max="10" width="13.1047619047619" style="345" customWidth="1"/>
    <col min="11" max="11" width="11.552380952381" style="345" customWidth="1"/>
    <col min="12" max="12" width="14.3333333333333" style="345" customWidth="1"/>
    <col min="13" max="13" width="13.3333333333333" style="345" customWidth="1"/>
    <col min="14" max="14" width="12.3333333333333" style="345" customWidth="1"/>
    <col min="15" max="15" width="11.552380952381" style="345"/>
    <col min="16" max="16" width="23.4380952380952" style="345" customWidth="1"/>
    <col min="17" max="17" width="17.8857142857143" style="345" customWidth="1"/>
    <col min="18" max="18" width="16.8857142857143" style="345" customWidth="1"/>
    <col min="19" max="19" width="11.552380952381" style="345" customWidth="1"/>
    <col min="20" max="20" width="23.8857142857143" style="345" customWidth="1"/>
    <col min="21" max="21" width="16.3333333333333" style="345" customWidth="1"/>
    <col min="22" max="16384" width="11.552380952381" style="345"/>
  </cols>
  <sheetData>
    <row r="2" s="383" customFormat="1" ht="21" customHeight="1" spans="2:13">
      <c r="B2" s="2" t="s">
        <v>0</v>
      </c>
      <c r="C2" s="2"/>
      <c r="D2" s="2"/>
      <c r="E2" s="2"/>
      <c r="F2" s="2"/>
      <c r="G2" s="2"/>
      <c r="H2" s="2"/>
      <c r="I2" s="2"/>
      <c r="J2" s="2"/>
      <c r="K2" s="2"/>
      <c r="L2" s="2"/>
      <c r="M2" s="2"/>
    </row>
    <row r="3" s="383" customFormat="1"/>
    <row r="4" s="383" customFormat="1" ht="18.45" customHeight="1" spans="2:13">
      <c r="B4" s="851" t="s">
        <v>264</v>
      </c>
      <c r="C4" s="851"/>
      <c r="D4" s="851"/>
      <c r="E4" s="851"/>
      <c r="F4" s="851"/>
      <c r="G4" s="851"/>
      <c r="H4" s="851"/>
      <c r="I4" s="851"/>
      <c r="J4" s="851"/>
      <c r="K4" s="851"/>
      <c r="L4" s="851"/>
      <c r="M4" s="851"/>
    </row>
    <row r="5" s="80" customFormat="1" ht="12.75" spans="11:14">
      <c r="K5" s="456"/>
      <c r="L5" s="456"/>
      <c r="M5" s="456"/>
      <c r="N5" s="456"/>
    </row>
    <row r="6" s="80" customFormat="1" ht="12.75" spans="2:14">
      <c r="B6" s="319" t="s">
        <v>265</v>
      </c>
      <c r="F6" s="852">
        <f>+H6-G42</f>
        <v>1133.14758757166</v>
      </c>
      <c r="G6" s="853"/>
      <c r="H6" s="853">
        <f>+E54</f>
        <v>1148.74758757166</v>
      </c>
      <c r="J6" s="80" t="b">
        <f>+H6='III. Sit. Actual O-D'!S12</f>
        <v>1</v>
      </c>
      <c r="K6" s="456"/>
      <c r="L6" s="878"/>
      <c r="M6" s="456"/>
      <c r="N6" s="456"/>
    </row>
    <row r="7" s="80" customFormat="1" ht="38.25" spans="2:14">
      <c r="B7" s="854" t="s">
        <v>266</v>
      </c>
      <c r="C7" s="854" t="s">
        <v>267</v>
      </c>
      <c r="D7" s="854" t="s">
        <v>268</v>
      </c>
      <c r="E7" s="854" t="s">
        <v>208</v>
      </c>
      <c r="F7" s="854" t="s">
        <v>269</v>
      </c>
      <c r="G7" s="854" t="s">
        <v>270</v>
      </c>
      <c r="H7" s="854" t="s">
        <v>271</v>
      </c>
      <c r="I7" s="854" t="s">
        <v>272</v>
      </c>
      <c r="K7" s="456"/>
      <c r="L7" s="887"/>
      <c r="M7" s="888"/>
      <c r="N7" s="456"/>
    </row>
    <row r="8" s="80" customFormat="1" ht="12.75" spans="2:19">
      <c r="B8" s="855" t="s">
        <v>273</v>
      </c>
      <c r="C8" s="856">
        <v>0.1511</v>
      </c>
      <c r="D8" s="311" t="s">
        <v>274</v>
      </c>
      <c r="E8" s="311" t="s">
        <v>275</v>
      </c>
      <c r="F8" s="857">
        <f>+$F$6*C8</f>
        <v>171.218600482077</v>
      </c>
      <c r="G8" s="857">
        <v>6.72</v>
      </c>
      <c r="H8" s="858">
        <f>+F8+G8</f>
        <v>177.938600482077</v>
      </c>
      <c r="I8" s="889">
        <f>+H8/$H$6</f>
        <v>0.154897910043252</v>
      </c>
      <c r="L8" s="890"/>
      <c r="M8" s="888"/>
      <c r="N8" s="456"/>
      <c r="O8" s="456"/>
      <c r="S8" s="456"/>
    </row>
    <row r="9" s="80" customFormat="1" ht="12.75" spans="2:19">
      <c r="B9" s="855" t="s">
        <v>276</v>
      </c>
      <c r="C9" s="856">
        <v>0.034</v>
      </c>
      <c r="D9" s="311" t="s">
        <v>274</v>
      </c>
      <c r="E9" s="311" t="s">
        <v>276</v>
      </c>
      <c r="F9" s="857">
        <f t="shared" ref="F9:F41" si="0">+$F$6*C9</f>
        <v>38.5270179774364</v>
      </c>
      <c r="G9" s="859"/>
      <c r="H9" s="858">
        <f t="shared" ref="H9:H41" si="1">+F9+G9</f>
        <v>38.5270179774364</v>
      </c>
      <c r="I9" s="889">
        <f t="shared" ref="I9:I41" si="2">+H9/$H$6</f>
        <v>0.0335382797703008</v>
      </c>
      <c r="K9" s="891"/>
      <c r="L9" s="890"/>
      <c r="M9" s="892"/>
      <c r="N9" s="456"/>
      <c r="O9" s="456"/>
      <c r="S9" s="456"/>
    </row>
    <row r="10" s="80" customFormat="1" ht="12.75" spans="2:19">
      <c r="B10" s="855" t="s">
        <v>277</v>
      </c>
      <c r="C10" s="856">
        <v>0.0023</v>
      </c>
      <c r="D10" s="311" t="s">
        <v>274</v>
      </c>
      <c r="E10" s="311" t="s">
        <v>278</v>
      </c>
      <c r="F10" s="857">
        <f t="shared" si="0"/>
        <v>2.60623945141481</v>
      </c>
      <c r="G10" s="859"/>
      <c r="H10" s="858">
        <f t="shared" si="1"/>
        <v>2.60623945141481</v>
      </c>
      <c r="I10" s="889">
        <f t="shared" si="2"/>
        <v>0.00226876598446152</v>
      </c>
      <c r="K10" s="891"/>
      <c r="L10" s="890"/>
      <c r="M10" s="892"/>
      <c r="N10" s="456"/>
      <c r="O10" s="456"/>
      <c r="P10" s="893"/>
      <c r="S10" s="456"/>
    </row>
    <row r="11" s="80" customFormat="1" ht="12.75" spans="2:19">
      <c r="B11" s="855" t="s">
        <v>279</v>
      </c>
      <c r="C11" s="856">
        <v>0</v>
      </c>
      <c r="D11" s="311" t="s">
        <v>274</v>
      </c>
      <c r="E11" s="311" t="s">
        <v>278</v>
      </c>
      <c r="F11" s="857">
        <f t="shared" si="0"/>
        <v>0</v>
      </c>
      <c r="G11" s="859"/>
      <c r="H11" s="858">
        <f t="shared" si="1"/>
        <v>0</v>
      </c>
      <c r="I11" s="889">
        <f t="shared" si="2"/>
        <v>0</v>
      </c>
      <c r="K11" s="891"/>
      <c r="L11" s="890"/>
      <c r="M11" s="892"/>
      <c r="N11" s="456"/>
      <c r="O11" s="456"/>
      <c r="P11" s="893"/>
      <c r="S11" s="456"/>
    </row>
    <row r="12" s="80" customFormat="1" ht="12.75" spans="2:22">
      <c r="B12" s="855" t="s">
        <v>220</v>
      </c>
      <c r="C12" s="856">
        <v>0.0418</v>
      </c>
      <c r="D12" s="311" t="s">
        <v>280</v>
      </c>
      <c r="E12" s="311" t="s">
        <v>281</v>
      </c>
      <c r="F12" s="857">
        <f t="shared" si="0"/>
        <v>47.3655691604953</v>
      </c>
      <c r="G12" s="859"/>
      <c r="H12" s="858">
        <f t="shared" si="1"/>
        <v>47.3655691604953</v>
      </c>
      <c r="I12" s="889">
        <f t="shared" si="2"/>
        <v>0.0412323557176051</v>
      </c>
      <c r="K12" s="891"/>
      <c r="L12" s="890"/>
      <c r="M12" s="894"/>
      <c r="N12" s="456"/>
      <c r="O12" s="456"/>
      <c r="P12" s="895"/>
      <c r="Q12" s="895"/>
      <c r="R12" s="895"/>
      <c r="S12" s="456"/>
      <c r="T12" s="895"/>
      <c r="U12" s="895"/>
      <c r="V12" s="895"/>
    </row>
    <row r="13" s="80" customFormat="1" ht="12.75" spans="2:22">
      <c r="B13" s="855" t="s">
        <v>282</v>
      </c>
      <c r="C13" s="856">
        <v>0.0858</v>
      </c>
      <c r="D13" s="311" t="s">
        <v>280</v>
      </c>
      <c r="E13" s="311" t="s">
        <v>281</v>
      </c>
      <c r="F13" s="857">
        <f t="shared" si="0"/>
        <v>97.2240630136482</v>
      </c>
      <c r="G13" s="859"/>
      <c r="H13" s="858">
        <f t="shared" si="1"/>
        <v>97.2240630136482</v>
      </c>
      <c r="I13" s="889">
        <f t="shared" si="2"/>
        <v>0.0846348354203473</v>
      </c>
      <c r="K13" s="891"/>
      <c r="L13" s="896"/>
      <c r="M13" s="897"/>
      <c r="N13" s="456"/>
      <c r="O13" s="456"/>
      <c r="P13" s="898"/>
      <c r="Q13" s="898"/>
      <c r="R13" s="898"/>
      <c r="S13" s="456"/>
      <c r="T13" s="898"/>
      <c r="U13" s="898"/>
      <c r="V13" s="898"/>
    </row>
    <row r="14" s="80" customFormat="1" ht="12.75" spans="2:22">
      <c r="B14" s="855" t="s">
        <v>283</v>
      </c>
      <c r="C14" s="856">
        <v>0</v>
      </c>
      <c r="D14" s="311" t="s">
        <v>280</v>
      </c>
      <c r="E14" s="311" t="s">
        <v>281</v>
      </c>
      <c r="F14" s="857">
        <f t="shared" si="0"/>
        <v>0</v>
      </c>
      <c r="G14" s="859"/>
      <c r="H14" s="858">
        <f t="shared" si="1"/>
        <v>0</v>
      </c>
      <c r="I14" s="889">
        <f t="shared" si="2"/>
        <v>0</v>
      </c>
      <c r="L14" s="890"/>
      <c r="M14" s="899"/>
      <c r="N14" s="456"/>
      <c r="O14" s="456"/>
      <c r="P14" s="900"/>
      <c r="Q14" s="916"/>
      <c r="R14" s="917"/>
      <c r="S14" s="456"/>
      <c r="T14" s="900"/>
      <c r="U14" s="916"/>
      <c r="V14" s="917"/>
    </row>
    <row r="15" s="80" customFormat="1" ht="12.75" spans="2:22">
      <c r="B15" s="855" t="s">
        <v>284</v>
      </c>
      <c r="C15" s="856">
        <v>0.014</v>
      </c>
      <c r="D15" s="311" t="s">
        <v>280</v>
      </c>
      <c r="E15" s="311" t="s">
        <v>281</v>
      </c>
      <c r="F15" s="857">
        <f t="shared" si="0"/>
        <v>15.8640662260032</v>
      </c>
      <c r="G15" s="859"/>
      <c r="H15" s="858">
        <f t="shared" si="1"/>
        <v>15.8640662260032</v>
      </c>
      <c r="I15" s="889">
        <f t="shared" si="2"/>
        <v>0.013809879905418</v>
      </c>
      <c r="L15" s="890"/>
      <c r="M15" s="899"/>
      <c r="N15" s="456"/>
      <c r="O15" s="456"/>
      <c r="P15" s="900"/>
      <c r="Q15" s="918"/>
      <c r="R15" s="917"/>
      <c r="S15" s="456"/>
      <c r="T15" s="900"/>
      <c r="U15" s="916"/>
      <c r="V15" s="917"/>
    </row>
    <row r="16" s="80" customFormat="1" ht="12.75" spans="2:22">
      <c r="B16" s="855" t="s">
        <v>285</v>
      </c>
      <c r="C16" s="856">
        <v>0.0707</v>
      </c>
      <c r="D16" s="311" t="s">
        <v>280</v>
      </c>
      <c r="E16" s="311" t="s">
        <v>286</v>
      </c>
      <c r="F16" s="857">
        <f t="shared" si="0"/>
        <v>80.1135344413162</v>
      </c>
      <c r="G16" s="859"/>
      <c r="H16" s="858">
        <f t="shared" si="1"/>
        <v>80.1135344413162</v>
      </c>
      <c r="I16" s="889">
        <f t="shared" si="2"/>
        <v>0.0697398935223608</v>
      </c>
      <c r="L16" s="890"/>
      <c r="M16" s="892"/>
      <c r="P16" s="900"/>
      <c r="Q16" s="916"/>
      <c r="R16" s="917"/>
      <c r="T16" s="901"/>
      <c r="U16" s="916"/>
      <c r="V16" s="917"/>
    </row>
    <row r="17" s="80" customFormat="1" ht="12.75" spans="2:22">
      <c r="B17" s="855" t="s">
        <v>287</v>
      </c>
      <c r="C17" s="856">
        <v>0.097</v>
      </c>
      <c r="D17" s="311" t="s">
        <v>280</v>
      </c>
      <c r="E17" s="311" t="s">
        <v>286</v>
      </c>
      <c r="F17" s="857">
        <f t="shared" si="0"/>
        <v>109.915315994451</v>
      </c>
      <c r="G17" s="859"/>
      <c r="H17" s="858">
        <f t="shared" si="1"/>
        <v>109.915315994451</v>
      </c>
      <c r="I17" s="889">
        <f t="shared" si="2"/>
        <v>0.0956827393446817</v>
      </c>
      <c r="L17" s="890"/>
      <c r="M17" s="892"/>
      <c r="P17" s="901"/>
      <c r="Q17" s="919"/>
      <c r="R17" s="920"/>
      <c r="T17" s="900"/>
      <c r="U17" s="916"/>
      <c r="V17" s="917"/>
    </row>
    <row r="18" s="80" customFormat="1" ht="12.75" spans="2:22">
      <c r="B18" s="855" t="s">
        <v>288</v>
      </c>
      <c r="C18" s="856">
        <v>0.0667</v>
      </c>
      <c r="D18" s="311" t="s">
        <v>280</v>
      </c>
      <c r="E18" s="311" t="s">
        <v>286</v>
      </c>
      <c r="F18" s="857">
        <f t="shared" si="0"/>
        <v>75.5809440910295</v>
      </c>
      <c r="G18" s="859"/>
      <c r="H18" s="858">
        <f t="shared" si="1"/>
        <v>75.5809440910295</v>
      </c>
      <c r="I18" s="889">
        <f t="shared" si="2"/>
        <v>0.0657942135493842</v>
      </c>
      <c r="K18" s="891"/>
      <c r="L18" s="890"/>
      <c r="M18" s="892"/>
      <c r="P18" s="902"/>
      <c r="Q18" s="921"/>
      <c r="R18" s="922"/>
      <c r="T18" s="900"/>
      <c r="U18" s="916"/>
      <c r="V18" s="917"/>
    </row>
    <row r="19" s="80" customFormat="1" ht="14.4" customHeight="1" spans="2:22">
      <c r="B19" s="855" t="s">
        <v>289</v>
      </c>
      <c r="C19" s="856">
        <v>0.0097</v>
      </c>
      <c r="D19" s="311" t="s">
        <v>280</v>
      </c>
      <c r="E19" s="311" t="s">
        <v>290</v>
      </c>
      <c r="F19" s="857">
        <f t="shared" si="0"/>
        <v>10.9915315994451</v>
      </c>
      <c r="G19" s="859"/>
      <c r="H19" s="858">
        <f t="shared" si="1"/>
        <v>10.9915315994451</v>
      </c>
      <c r="I19" s="889">
        <f t="shared" si="2"/>
        <v>0.00956827393446817</v>
      </c>
      <c r="K19" s="891"/>
      <c r="L19" s="890"/>
      <c r="M19" s="892"/>
      <c r="P19" s="903"/>
      <c r="Q19" s="903"/>
      <c r="R19" s="903"/>
      <c r="T19" s="901"/>
      <c r="U19" s="919"/>
      <c r="V19" s="920"/>
    </row>
    <row r="20" s="80" customFormat="1" ht="12.75" spans="2:22">
      <c r="B20" s="855" t="s">
        <v>291</v>
      </c>
      <c r="C20" s="856">
        <v>0.0323</v>
      </c>
      <c r="D20" s="311" t="s">
        <v>280</v>
      </c>
      <c r="E20" s="311" t="s">
        <v>290</v>
      </c>
      <c r="F20" s="857">
        <f t="shared" si="0"/>
        <v>36.6006670785645</v>
      </c>
      <c r="G20" s="859"/>
      <c r="H20" s="858">
        <f t="shared" si="1"/>
        <v>36.6006670785645</v>
      </c>
      <c r="I20" s="889">
        <f t="shared" si="2"/>
        <v>0.0318613657817857</v>
      </c>
      <c r="K20" s="891"/>
      <c r="L20" s="890"/>
      <c r="M20" s="894"/>
      <c r="P20" s="903"/>
      <c r="Q20" s="903"/>
      <c r="R20" s="903"/>
      <c r="T20" s="902"/>
      <c r="U20" s="921"/>
      <c r="V20" s="922"/>
    </row>
    <row r="21" s="80" customFormat="1" ht="12.75" spans="2:18">
      <c r="B21" s="855" t="s">
        <v>292</v>
      </c>
      <c r="C21" s="856">
        <v>0.006</v>
      </c>
      <c r="D21" s="311" t="s">
        <v>280</v>
      </c>
      <c r="E21" s="311" t="s">
        <v>293</v>
      </c>
      <c r="F21" s="857">
        <f t="shared" si="0"/>
        <v>6.79888552542994</v>
      </c>
      <c r="G21" s="859"/>
      <c r="H21" s="858">
        <f t="shared" si="1"/>
        <v>6.79888552542994</v>
      </c>
      <c r="I21" s="889">
        <f t="shared" si="2"/>
        <v>0.00591851995946485</v>
      </c>
      <c r="K21" s="891"/>
      <c r="L21" s="904"/>
      <c r="M21" s="892"/>
      <c r="P21" s="903"/>
      <c r="Q21" s="903"/>
      <c r="R21" s="903"/>
    </row>
    <row r="22" s="80" customFormat="1" ht="12.75" spans="2:18">
      <c r="B22" s="855" t="s">
        <v>294</v>
      </c>
      <c r="C22" s="856">
        <v>0.0137</v>
      </c>
      <c r="D22" s="311" t="s">
        <v>280</v>
      </c>
      <c r="E22" s="311" t="s">
        <v>293</v>
      </c>
      <c r="F22" s="857">
        <f t="shared" si="0"/>
        <v>15.5241219497317</v>
      </c>
      <c r="G22" s="859"/>
      <c r="H22" s="858">
        <f t="shared" si="1"/>
        <v>15.5241219497317</v>
      </c>
      <c r="I22" s="889">
        <f t="shared" si="2"/>
        <v>0.0135139539074447</v>
      </c>
      <c r="K22" s="891"/>
      <c r="L22" s="890"/>
      <c r="M22" s="899"/>
      <c r="P22" s="903"/>
      <c r="Q22" s="903"/>
      <c r="R22" s="903"/>
    </row>
    <row r="23" s="80" customFormat="1" ht="12.75" spans="2:18">
      <c r="B23" s="855" t="s">
        <v>295</v>
      </c>
      <c r="C23" s="856">
        <v>0.0021</v>
      </c>
      <c r="D23" s="311" t="s">
        <v>280</v>
      </c>
      <c r="E23" s="311" t="s">
        <v>293</v>
      </c>
      <c r="F23" s="857">
        <f t="shared" si="0"/>
        <v>2.37960993390048</v>
      </c>
      <c r="G23" s="859"/>
      <c r="H23" s="858">
        <f t="shared" si="1"/>
        <v>2.37960993390048</v>
      </c>
      <c r="I23" s="889">
        <f t="shared" si="2"/>
        <v>0.0020714819858127</v>
      </c>
      <c r="L23" s="890"/>
      <c r="M23" s="892"/>
      <c r="P23" s="903"/>
      <c r="Q23" s="903"/>
      <c r="R23" s="903"/>
    </row>
    <row r="24" s="80" customFormat="1" ht="12.75" spans="2:18">
      <c r="B24" s="855" t="s">
        <v>296</v>
      </c>
      <c r="C24" s="856">
        <v>0.0016</v>
      </c>
      <c r="D24" s="311" t="s">
        <v>280</v>
      </c>
      <c r="E24" s="311" t="s">
        <v>293</v>
      </c>
      <c r="F24" s="857">
        <f t="shared" si="0"/>
        <v>1.81303614011465</v>
      </c>
      <c r="G24" s="859"/>
      <c r="H24" s="858">
        <f t="shared" si="1"/>
        <v>1.81303614011465</v>
      </c>
      <c r="I24" s="889">
        <f t="shared" si="2"/>
        <v>0.00157827198919063</v>
      </c>
      <c r="L24" s="890"/>
      <c r="M24" s="892"/>
      <c r="P24" s="903"/>
      <c r="Q24" s="903"/>
      <c r="R24" s="903"/>
    </row>
    <row r="25" s="80" customFormat="1" ht="12.75" spans="2:17">
      <c r="B25" s="855" t="s">
        <v>297</v>
      </c>
      <c r="C25" s="856">
        <v>0.0488</v>
      </c>
      <c r="D25" s="311" t="s">
        <v>298</v>
      </c>
      <c r="E25" s="311" t="s">
        <v>222</v>
      </c>
      <c r="F25" s="857">
        <f t="shared" si="0"/>
        <v>55.2976022734969</v>
      </c>
      <c r="G25" s="859"/>
      <c r="H25" s="858">
        <f t="shared" si="1"/>
        <v>55.2976022734969</v>
      </c>
      <c r="I25" s="889">
        <f t="shared" si="2"/>
        <v>0.0481372956703141</v>
      </c>
      <c r="K25" s="905"/>
      <c r="L25" s="890"/>
      <c r="M25" s="892"/>
      <c r="N25" s="316"/>
      <c r="P25" s="898"/>
      <c r="Q25" s="923"/>
    </row>
    <row r="26" s="80" customFormat="1" ht="12.75" spans="2:18">
      <c r="B26" s="855" t="s">
        <v>299</v>
      </c>
      <c r="C26" s="856">
        <v>0.0891</v>
      </c>
      <c r="D26" s="311" t="s">
        <v>298</v>
      </c>
      <c r="E26" s="311" t="s">
        <v>222</v>
      </c>
      <c r="F26" s="857">
        <f t="shared" si="0"/>
        <v>100.963450052635</v>
      </c>
      <c r="G26" s="859"/>
      <c r="H26" s="858">
        <f t="shared" si="1"/>
        <v>100.963450052635</v>
      </c>
      <c r="I26" s="889">
        <f t="shared" si="2"/>
        <v>0.087890021398053</v>
      </c>
      <c r="K26" s="905"/>
      <c r="L26" s="890"/>
      <c r="M26" s="894"/>
      <c r="N26" s="316"/>
      <c r="P26" s="900"/>
      <c r="Q26" s="924"/>
      <c r="R26" s="925"/>
    </row>
    <row r="27" s="80" customFormat="1" ht="12.75" spans="2:18">
      <c r="B27" s="855" t="s">
        <v>300</v>
      </c>
      <c r="C27" s="856">
        <v>0.0018</v>
      </c>
      <c r="D27" s="311" t="s">
        <v>298</v>
      </c>
      <c r="E27" s="311" t="s">
        <v>222</v>
      </c>
      <c r="F27" s="857">
        <f t="shared" si="0"/>
        <v>2.03966565762898</v>
      </c>
      <c r="G27" s="859"/>
      <c r="H27" s="858">
        <f t="shared" si="1"/>
        <v>2.03966565762898</v>
      </c>
      <c r="I27" s="889">
        <f t="shared" si="2"/>
        <v>0.00177555598783945</v>
      </c>
      <c r="K27" s="905"/>
      <c r="L27" s="904"/>
      <c r="M27" s="892"/>
      <c r="N27" s="316"/>
      <c r="P27" s="900"/>
      <c r="Q27" s="924"/>
      <c r="R27" s="925"/>
    </row>
    <row r="28" s="80" customFormat="1" ht="12.75" spans="2:18">
      <c r="B28" s="855" t="s">
        <v>301</v>
      </c>
      <c r="C28" s="856">
        <v>0.0351</v>
      </c>
      <c r="D28" s="311" t="s">
        <v>298</v>
      </c>
      <c r="E28" s="311" t="s">
        <v>278</v>
      </c>
      <c r="F28" s="857">
        <f t="shared" si="0"/>
        <v>39.7734803237652</v>
      </c>
      <c r="G28" s="859"/>
      <c r="H28" s="858">
        <f t="shared" si="1"/>
        <v>39.7734803237652</v>
      </c>
      <c r="I28" s="889">
        <f t="shared" si="2"/>
        <v>0.0346233417628693</v>
      </c>
      <c r="K28" s="905"/>
      <c r="L28" s="890"/>
      <c r="M28" s="899"/>
      <c r="P28" s="901"/>
      <c r="Q28" s="926"/>
      <c r="R28" s="927"/>
    </row>
    <row r="29" s="80" customFormat="1" ht="14.4" customHeight="1" spans="2:18">
      <c r="B29" s="860" t="s">
        <v>302</v>
      </c>
      <c r="C29" s="856">
        <v>0.046</v>
      </c>
      <c r="D29" s="861" t="s">
        <v>298</v>
      </c>
      <c r="E29" s="861" t="s">
        <v>278</v>
      </c>
      <c r="F29" s="862">
        <f t="shared" si="0"/>
        <v>52.1247890282962</v>
      </c>
      <c r="G29" s="863"/>
      <c r="H29" s="864">
        <f t="shared" si="1"/>
        <v>52.1247890282962</v>
      </c>
      <c r="I29" s="906">
        <f t="shared" si="2"/>
        <v>0.0453753196892305</v>
      </c>
      <c r="K29" s="905"/>
      <c r="L29" s="890"/>
      <c r="M29" s="892"/>
      <c r="P29" s="907"/>
      <c r="Q29" s="928"/>
      <c r="R29" s="929"/>
    </row>
    <row r="30" s="80" customFormat="1" ht="12.75" spans="2:18">
      <c r="B30" s="855" t="s">
        <v>303</v>
      </c>
      <c r="C30" s="856">
        <v>0.006</v>
      </c>
      <c r="D30" s="311" t="s">
        <v>298</v>
      </c>
      <c r="E30" s="311" t="s">
        <v>278</v>
      </c>
      <c r="F30" s="857">
        <f t="shared" si="0"/>
        <v>6.79888552542994</v>
      </c>
      <c r="G30" s="859"/>
      <c r="H30" s="858">
        <f t="shared" si="1"/>
        <v>6.79888552542994</v>
      </c>
      <c r="I30" s="889">
        <f t="shared" si="2"/>
        <v>0.00591851995946485</v>
      </c>
      <c r="K30" s="908"/>
      <c r="L30" s="890"/>
      <c r="M30" s="892"/>
      <c r="P30" s="909"/>
      <c r="Q30" s="930"/>
      <c r="R30" s="931"/>
    </row>
    <row r="31" s="80" customFormat="1" ht="12.75" spans="2:18">
      <c r="B31" s="855" t="s">
        <v>304</v>
      </c>
      <c r="C31" s="856">
        <v>0.0386</v>
      </c>
      <c r="D31" s="311" t="s">
        <v>298</v>
      </c>
      <c r="E31" s="311" t="s">
        <v>278</v>
      </c>
      <c r="F31" s="857">
        <f t="shared" si="0"/>
        <v>43.739496880266</v>
      </c>
      <c r="G31" s="859"/>
      <c r="H31" s="858">
        <f t="shared" si="1"/>
        <v>43.739496880266</v>
      </c>
      <c r="I31" s="889">
        <f t="shared" si="2"/>
        <v>0.0380758117392238</v>
      </c>
      <c r="K31" s="908"/>
      <c r="L31" s="890"/>
      <c r="M31" s="894"/>
      <c r="P31" s="909"/>
      <c r="Q31" s="930"/>
      <c r="R31" s="931"/>
    </row>
    <row r="32" s="80" customFormat="1" ht="12.75" spans="2:17">
      <c r="B32" s="855" t="s">
        <v>305</v>
      </c>
      <c r="C32" s="856">
        <v>0.0001</v>
      </c>
      <c r="D32" s="311" t="s">
        <v>298</v>
      </c>
      <c r="E32" s="311" t="s">
        <v>278</v>
      </c>
      <c r="F32" s="857">
        <f t="shared" si="0"/>
        <v>0.113314758757166</v>
      </c>
      <c r="G32" s="859"/>
      <c r="H32" s="858">
        <f t="shared" si="1"/>
        <v>0.113314758757166</v>
      </c>
      <c r="I32" s="889">
        <f t="shared" si="2"/>
        <v>9.86419993244141e-5</v>
      </c>
      <c r="L32" s="904"/>
      <c r="M32" s="892"/>
      <c r="Q32" s="316"/>
    </row>
    <row r="33" s="80" customFormat="1" ht="12.75" spans="2:13">
      <c r="B33" s="855" t="s">
        <v>306</v>
      </c>
      <c r="C33" s="856">
        <v>0.0251</v>
      </c>
      <c r="D33" s="311" t="s">
        <v>298</v>
      </c>
      <c r="E33" s="311" t="s">
        <v>278</v>
      </c>
      <c r="F33" s="857">
        <f t="shared" si="0"/>
        <v>28.4420044480486</v>
      </c>
      <c r="G33" s="857"/>
      <c r="H33" s="858">
        <f t="shared" si="1"/>
        <v>28.4420044480486</v>
      </c>
      <c r="I33" s="889">
        <f t="shared" si="2"/>
        <v>0.0247591418304279</v>
      </c>
      <c r="L33" s="890"/>
      <c r="M33" s="899"/>
    </row>
    <row r="34" s="80" customFormat="1" ht="12.75" spans="2:13">
      <c r="B34" s="855" t="s">
        <v>307</v>
      </c>
      <c r="C34" s="856">
        <v>0.0126</v>
      </c>
      <c r="D34" s="311" t="s">
        <v>298</v>
      </c>
      <c r="E34" s="311" t="s">
        <v>278</v>
      </c>
      <c r="F34" s="857">
        <f t="shared" si="0"/>
        <v>14.2776596034029</v>
      </c>
      <c r="G34" s="859"/>
      <c r="H34" s="858">
        <f t="shared" si="1"/>
        <v>14.2776596034029</v>
      </c>
      <c r="I34" s="889">
        <f t="shared" si="2"/>
        <v>0.0124288919148762</v>
      </c>
      <c r="K34" s="319"/>
      <c r="L34" s="890"/>
      <c r="M34" s="899"/>
    </row>
    <row r="35" s="80" customFormat="1" ht="12.75" spans="2:13">
      <c r="B35" s="855" t="s">
        <v>308</v>
      </c>
      <c r="C35" s="856">
        <v>0.0007</v>
      </c>
      <c r="D35" s="311" t="s">
        <v>298</v>
      </c>
      <c r="E35" s="311" t="s">
        <v>278</v>
      </c>
      <c r="F35" s="857">
        <f t="shared" si="0"/>
        <v>0.79320331130016</v>
      </c>
      <c r="G35" s="859"/>
      <c r="H35" s="858">
        <f t="shared" si="1"/>
        <v>0.79320331130016</v>
      </c>
      <c r="I35" s="889">
        <f t="shared" si="2"/>
        <v>0.000690493995270899</v>
      </c>
      <c r="K35" s="905"/>
      <c r="L35" s="890"/>
      <c r="M35" s="892"/>
    </row>
    <row r="36" s="80" customFormat="1" ht="12.75" spans="2:13">
      <c r="B36" s="855" t="s">
        <v>309</v>
      </c>
      <c r="C36" s="856">
        <v>0.0007</v>
      </c>
      <c r="D36" s="311" t="s">
        <v>298</v>
      </c>
      <c r="E36" s="311" t="s">
        <v>278</v>
      </c>
      <c r="F36" s="857">
        <f t="shared" si="0"/>
        <v>0.79320331130016</v>
      </c>
      <c r="G36" s="857">
        <v>4.41</v>
      </c>
      <c r="H36" s="858">
        <f t="shared" si="1"/>
        <v>5.20320331130016</v>
      </c>
      <c r="I36" s="889">
        <f t="shared" si="2"/>
        <v>0.00452945744356185</v>
      </c>
      <c r="L36" s="890"/>
      <c r="M36" s="892"/>
    </row>
    <row r="37" s="80" customFormat="1" ht="12.75" spans="2:13">
      <c r="B37" s="855" t="s">
        <v>310</v>
      </c>
      <c r="C37" s="856">
        <v>0.0021</v>
      </c>
      <c r="D37" s="311" t="s">
        <v>298</v>
      </c>
      <c r="E37" s="311" t="s">
        <v>278</v>
      </c>
      <c r="F37" s="857">
        <f t="shared" si="0"/>
        <v>2.37960993390048</v>
      </c>
      <c r="G37" s="859"/>
      <c r="H37" s="858">
        <f t="shared" si="1"/>
        <v>2.37960993390048</v>
      </c>
      <c r="I37" s="889">
        <f t="shared" si="2"/>
        <v>0.0020714819858127</v>
      </c>
      <c r="L37" s="890"/>
      <c r="M37" s="892"/>
    </row>
    <row r="38" s="80" customFormat="1" ht="12.75" spans="2:13">
      <c r="B38" s="855" t="s">
        <v>311</v>
      </c>
      <c r="C38" s="856">
        <v>0.0056</v>
      </c>
      <c r="D38" s="311" t="s">
        <v>298</v>
      </c>
      <c r="E38" s="311" t="s">
        <v>278</v>
      </c>
      <c r="F38" s="857">
        <f t="shared" si="0"/>
        <v>6.34562649040128</v>
      </c>
      <c r="G38" s="857"/>
      <c r="H38" s="858">
        <f t="shared" si="1"/>
        <v>6.34562649040128</v>
      </c>
      <c r="I38" s="889">
        <f t="shared" si="2"/>
        <v>0.00552395196216719</v>
      </c>
      <c r="L38" s="890"/>
      <c r="M38" s="894"/>
    </row>
    <row r="39" s="80" customFormat="1" ht="12.75" spans="2:13">
      <c r="B39" s="855" t="s">
        <v>312</v>
      </c>
      <c r="C39" s="856">
        <v>0.0042</v>
      </c>
      <c r="D39" s="311" t="s">
        <v>298</v>
      </c>
      <c r="E39" s="311" t="s">
        <v>278</v>
      </c>
      <c r="F39" s="857">
        <f t="shared" si="0"/>
        <v>4.75921986780096</v>
      </c>
      <c r="G39" s="857">
        <v>2.98</v>
      </c>
      <c r="H39" s="858">
        <f t="shared" si="1"/>
        <v>7.73921986780096</v>
      </c>
      <c r="I39" s="889">
        <f t="shared" si="2"/>
        <v>0.00673709346729592</v>
      </c>
      <c r="K39" s="319"/>
      <c r="L39" s="904"/>
      <c r="M39" s="892"/>
    </row>
    <row r="40" s="80" customFormat="1" ht="12.75" spans="2:13">
      <c r="B40" s="855" t="s">
        <v>313</v>
      </c>
      <c r="C40" s="856">
        <v>0.0508</v>
      </c>
      <c r="D40" s="311" t="s">
        <v>298</v>
      </c>
      <c r="E40" s="311" t="s">
        <v>278</v>
      </c>
      <c r="F40" s="857">
        <f t="shared" si="0"/>
        <v>57.5638974486402</v>
      </c>
      <c r="G40" s="857">
        <v>1.49</v>
      </c>
      <c r="H40" s="858">
        <f t="shared" si="1"/>
        <v>59.0538974486402</v>
      </c>
      <c r="I40" s="889">
        <f t="shared" si="2"/>
        <v>0.0514072004046376</v>
      </c>
      <c r="L40" s="896"/>
      <c r="M40" s="897"/>
    </row>
    <row r="41" s="80" customFormat="1" ht="12.75" spans="2:13">
      <c r="B41" s="855" t="s">
        <v>314</v>
      </c>
      <c r="C41" s="856">
        <v>0.0039</v>
      </c>
      <c r="D41" s="311" t="s">
        <v>315</v>
      </c>
      <c r="E41" s="311" t="s">
        <v>278</v>
      </c>
      <c r="F41" s="857">
        <f t="shared" si="0"/>
        <v>4.41927559152946</v>
      </c>
      <c r="G41" s="859"/>
      <c r="H41" s="858">
        <f t="shared" si="1"/>
        <v>4.41927559152946</v>
      </c>
      <c r="I41" s="889">
        <f t="shared" si="2"/>
        <v>0.00384703797365215</v>
      </c>
      <c r="L41" s="890"/>
      <c r="M41" s="899"/>
    </row>
    <row r="42" s="80" customFormat="1" ht="12.75" spans="2:9">
      <c r="B42" s="865" t="s">
        <v>316</v>
      </c>
      <c r="C42" s="866">
        <f>+SUM(C8:C41)</f>
        <v>1</v>
      </c>
      <c r="D42" s="867"/>
      <c r="E42" s="867"/>
      <c r="F42" s="868">
        <f>+SUM(F8:F41)</f>
        <v>1133.14758757166</v>
      </c>
      <c r="G42" s="868">
        <v>15.6</v>
      </c>
      <c r="H42" s="868">
        <f>F42+G42</f>
        <v>1148.74758757166</v>
      </c>
      <c r="I42" s="910">
        <f>+SUM(I8:I41)</f>
        <v>1</v>
      </c>
    </row>
    <row r="43" s="80" customFormat="1" ht="12.75" spans="2:13">
      <c r="B43" s="80" t="s">
        <v>317</v>
      </c>
      <c r="L43" s="890"/>
      <c r="M43" s="892"/>
    </row>
    <row r="44" s="80" customFormat="1" ht="12.75" spans="12:13">
      <c r="L44" s="890"/>
      <c r="M44" s="892"/>
    </row>
    <row r="45" s="80" customFormat="1" ht="12.75" spans="2:13">
      <c r="B45" s="319" t="s">
        <v>318</v>
      </c>
      <c r="I45" s="319"/>
      <c r="L45" s="890"/>
      <c r="M45" s="892"/>
    </row>
    <row r="46" s="80" customFormat="1" ht="12.75" spans="2:12">
      <c r="B46" s="869" t="s">
        <v>208</v>
      </c>
      <c r="C46" s="869" t="s">
        <v>260</v>
      </c>
      <c r="D46" s="869" t="s">
        <v>319</v>
      </c>
      <c r="E46" s="869" t="s">
        <v>320</v>
      </c>
      <c r="F46" s="869" t="s">
        <v>321</v>
      </c>
      <c r="H46" s="870"/>
      <c r="I46" s="870"/>
      <c r="J46" s="911"/>
      <c r="K46" s="890"/>
      <c r="L46" s="894"/>
    </row>
    <row r="47" s="80" customFormat="1" ht="12.75" spans="2:12">
      <c r="B47" s="315" t="s">
        <v>211</v>
      </c>
      <c r="C47" s="871">
        <f>+'I.1 Proyecciones Población'!I21</f>
        <v>1021525.74923605</v>
      </c>
      <c r="D47" s="872">
        <v>0.78</v>
      </c>
      <c r="E47" s="873">
        <f>+C47*D47/1000</f>
        <v>796.790084404119</v>
      </c>
      <c r="F47" s="874">
        <f>+E47*365</f>
        <v>290828.380807504</v>
      </c>
      <c r="H47" s="870"/>
      <c r="I47" s="870"/>
      <c r="J47" s="911"/>
      <c r="K47" s="904"/>
      <c r="L47" s="892"/>
    </row>
    <row r="48" s="80" customFormat="1" ht="12.75" spans="2:12">
      <c r="B48" s="315" t="s">
        <v>212</v>
      </c>
      <c r="C48" s="871">
        <f>+'I.1 Proyecciones Población'!I21</f>
        <v>1021525.74923605</v>
      </c>
      <c r="D48" s="872">
        <f>+SUM(D49:D53)</f>
        <v>0.344541</v>
      </c>
      <c r="E48" s="873">
        <f>+SUM(E49:E53)</f>
        <v>351.957503167538</v>
      </c>
      <c r="F48" s="874">
        <f>+E48*365</f>
        <v>128464.488656151</v>
      </c>
      <c r="H48" s="875"/>
      <c r="I48" s="875"/>
      <c r="J48" s="912"/>
      <c r="K48" s="890"/>
      <c r="L48" s="892"/>
    </row>
    <row r="49" s="80" customFormat="1" ht="12.75" spans="2:12">
      <c r="B49" s="876" t="s">
        <v>322</v>
      </c>
      <c r="C49" s="871"/>
      <c r="D49" s="877">
        <v>0.329271</v>
      </c>
      <c r="E49" s="873">
        <f>+$C$48*D49/1000</f>
        <v>336.358804976703</v>
      </c>
      <c r="F49" s="874">
        <f t="shared" ref="F49:F53" si="3">+E49*365</f>
        <v>122770.963816497</v>
      </c>
      <c r="H49" s="875"/>
      <c r="I49" s="875"/>
      <c r="J49" s="912"/>
      <c r="K49" s="890"/>
      <c r="L49" s="892"/>
    </row>
    <row r="50" s="80" customFormat="1" ht="12.75" spans="2:12">
      <c r="B50" s="876" t="s">
        <v>323</v>
      </c>
      <c r="C50" s="871"/>
      <c r="D50" s="877">
        <v>0.00289</v>
      </c>
      <c r="E50" s="873">
        <f>+$C$48*D50/1000</f>
        <v>2.95220941529219</v>
      </c>
      <c r="F50" s="874">
        <f t="shared" si="3"/>
        <v>1077.55643658165</v>
      </c>
      <c r="H50" s="875"/>
      <c r="I50" s="875"/>
      <c r="J50" s="912"/>
      <c r="K50" s="890"/>
      <c r="L50" s="892"/>
    </row>
    <row r="51" s="80" customFormat="1" ht="12.75" spans="2:12">
      <c r="B51" s="876" t="s">
        <v>324</v>
      </c>
      <c r="C51" s="871"/>
      <c r="D51" s="877">
        <v>0.0043</v>
      </c>
      <c r="E51" s="873">
        <f>+$C$48*D51/1000</f>
        <v>4.39256072171502</v>
      </c>
      <c r="F51" s="874">
        <f t="shared" si="3"/>
        <v>1603.28466342598</v>
      </c>
      <c r="H51" s="875"/>
      <c r="I51" s="875"/>
      <c r="J51" s="912"/>
      <c r="K51" s="890"/>
      <c r="L51" s="892"/>
    </row>
    <row r="52" s="80" customFormat="1" ht="12.75" spans="2:12">
      <c r="B52" s="876" t="s">
        <v>325</v>
      </c>
      <c r="C52" s="871"/>
      <c r="D52" s="877">
        <v>0.0066</v>
      </c>
      <c r="E52" s="873">
        <f>+$C$48*D52/1000</f>
        <v>6.74206994495793</v>
      </c>
      <c r="F52" s="874">
        <f t="shared" si="3"/>
        <v>2460.85552990965</v>
      </c>
      <c r="H52" s="875"/>
      <c r="I52" s="875"/>
      <c r="J52" s="912"/>
      <c r="K52" s="890"/>
      <c r="L52" s="892"/>
    </row>
    <row r="53" s="80" customFormat="1" ht="12.75" spans="2:12">
      <c r="B53" s="876" t="s">
        <v>326</v>
      </c>
      <c r="C53" s="871"/>
      <c r="D53" s="877">
        <v>0.00148</v>
      </c>
      <c r="E53" s="873">
        <f>+$C$48*D53/1000</f>
        <v>1.51185810886935</v>
      </c>
      <c r="F53" s="874">
        <f t="shared" si="3"/>
        <v>551.828209737314</v>
      </c>
      <c r="H53" s="875"/>
      <c r="I53" s="875"/>
      <c r="J53" s="912"/>
      <c r="K53" s="890"/>
      <c r="L53" s="892"/>
    </row>
    <row r="54" s="80" customFormat="1" ht="12.75" spans="1:12">
      <c r="A54" s="878"/>
      <c r="B54" s="867" t="s">
        <v>170</v>
      </c>
      <c r="C54" s="867"/>
      <c r="D54" s="879">
        <f>+SUM(D47:D48)</f>
        <v>1.124541</v>
      </c>
      <c r="E54" s="880">
        <f>+SUM(E47:E48)</f>
        <v>1148.74758757166</v>
      </c>
      <c r="F54" s="881">
        <f>+SUM(F47:F48)</f>
        <v>419292.869463655</v>
      </c>
      <c r="H54" s="875"/>
      <c r="I54" s="875"/>
      <c r="J54" s="913"/>
      <c r="K54" s="890"/>
      <c r="L54" s="892"/>
    </row>
    <row r="55" s="80" customFormat="1" ht="12.75" spans="1:13">
      <c r="A55" s="456"/>
      <c r="B55" s="80" t="s">
        <v>327</v>
      </c>
      <c r="G55" s="456"/>
      <c r="I55" s="875"/>
      <c r="J55" s="875"/>
      <c r="K55" s="914"/>
      <c r="L55" s="890"/>
      <c r="M55" s="892"/>
    </row>
    <row r="56" s="80" customFormat="1" ht="12.75" spans="1:13">
      <c r="A56" s="456"/>
      <c r="G56" s="456"/>
      <c r="I56" s="915"/>
      <c r="J56" s="875"/>
      <c r="K56" s="913"/>
      <c r="L56" s="890"/>
      <c r="M56" s="892"/>
    </row>
    <row r="57" s="80" customFormat="1" ht="12.75" spans="2:13">
      <c r="B57" s="319" t="s">
        <v>328</v>
      </c>
      <c r="I57" s="915"/>
      <c r="J57" s="875"/>
      <c r="K57" s="913"/>
      <c r="L57" s="890"/>
      <c r="M57" s="892"/>
    </row>
    <row r="58" s="80" customFormat="1" ht="12.75" spans="2:13">
      <c r="B58" s="882" t="s">
        <v>268</v>
      </c>
      <c r="C58" s="882" t="s">
        <v>320</v>
      </c>
      <c r="D58" s="882" t="s">
        <v>329</v>
      </c>
      <c r="I58" s="915"/>
      <c r="J58" s="875"/>
      <c r="K58" s="913"/>
      <c r="L58" s="890"/>
      <c r="M58" s="892"/>
    </row>
    <row r="59" s="80" customFormat="1" ht="12.75" spans="2:13">
      <c r="B59" s="311" t="s">
        <v>330</v>
      </c>
      <c r="C59" s="883">
        <f>+F25+F26+F27+F28+F29+F30+F31+F32+F33+F34+F35+F36+F37+F38+F39+F40+G36+G39+G40</f>
        <v>425.08510891507</v>
      </c>
      <c r="D59" s="884">
        <f>+C59/$C$63</f>
        <v>0.37004222121037</v>
      </c>
      <c r="I59" s="915"/>
      <c r="J59" s="875"/>
      <c r="K59" s="913"/>
      <c r="L59" s="890"/>
      <c r="M59" s="892"/>
    </row>
    <row r="60" s="80" customFormat="1" ht="12.75" spans="2:13">
      <c r="B60" s="311" t="s">
        <v>331</v>
      </c>
      <c r="C60" s="883">
        <f>+F12+F13+F14+F15+F16+F17+F18+F19+F20+F21+F22+F23+F24</f>
        <v>500.17134515413</v>
      </c>
      <c r="D60" s="884">
        <f t="shared" ref="D60:D63" si="4">+C60/$C$63</f>
        <v>0.435405785017964</v>
      </c>
      <c r="I60" s="915"/>
      <c r="J60" s="875"/>
      <c r="K60" s="913"/>
      <c r="L60" s="890"/>
      <c r="M60" s="892"/>
    </row>
    <row r="61" s="80" customFormat="1" ht="12.75" spans="2:13">
      <c r="B61" s="311" t="s">
        <v>274</v>
      </c>
      <c r="C61" s="883">
        <f>+F8+F9+F10+F11+G8</f>
        <v>219.071857910929</v>
      </c>
      <c r="D61" s="884">
        <f t="shared" si="4"/>
        <v>0.190704955798014</v>
      </c>
      <c r="L61" s="890"/>
      <c r="M61" s="894"/>
    </row>
    <row r="62" s="80" customFormat="1" ht="12.75" spans="2:13">
      <c r="B62" s="311" t="s">
        <v>315</v>
      </c>
      <c r="C62" s="883">
        <f>+F41</f>
        <v>4.41927559152946</v>
      </c>
      <c r="D62" s="884">
        <f t="shared" si="4"/>
        <v>0.00384703797365215</v>
      </c>
      <c r="L62" s="904"/>
      <c r="M62" s="892"/>
    </row>
    <row r="63" s="80" customFormat="1" ht="12.75" spans="2:13">
      <c r="B63" s="885" t="s">
        <v>170</v>
      </c>
      <c r="C63" s="886">
        <f>+SUM(C59:C62)</f>
        <v>1148.74758757166</v>
      </c>
      <c r="D63" s="866">
        <f t="shared" si="4"/>
        <v>1</v>
      </c>
      <c r="L63" s="890"/>
      <c r="M63" s="892"/>
    </row>
    <row r="64" s="80" customFormat="1" ht="12.75" spans="2:13">
      <c r="B64" s="80" t="s">
        <v>317</v>
      </c>
      <c r="L64" s="890"/>
      <c r="M64" s="892"/>
    </row>
    <row r="65" s="80" customFormat="1" ht="12.75" spans="12:13">
      <c r="L65" s="890"/>
      <c r="M65" s="894"/>
    </row>
    <row r="66" s="80" customFormat="1" ht="12.75" spans="2:13">
      <c r="B66" s="319" t="s">
        <v>332</v>
      </c>
      <c r="L66" s="904"/>
      <c r="M66" s="892"/>
    </row>
    <row r="67" s="80" customFormat="1" ht="12.75" spans="2:13">
      <c r="B67" s="882" t="s">
        <v>208</v>
      </c>
      <c r="C67" s="882" t="s">
        <v>320</v>
      </c>
      <c r="D67" s="882" t="s">
        <v>329</v>
      </c>
      <c r="L67" s="904"/>
      <c r="M67" s="892"/>
    </row>
    <row r="68" s="80" customFormat="1" ht="12.75" spans="2:13">
      <c r="B68" s="311" t="s">
        <v>281</v>
      </c>
      <c r="C68" s="883">
        <f>+F12+F13+F14+F15</f>
        <v>160.453698400147</v>
      </c>
      <c r="D68" s="884">
        <f>+C68/$C$72</f>
        <v>0.32079746261894</v>
      </c>
      <c r="F68" s="828"/>
      <c r="L68" s="890"/>
      <c r="M68" s="892"/>
    </row>
    <row r="69" s="80" customFormat="1" ht="12.75" spans="2:13">
      <c r="B69" s="311" t="s">
        <v>286</v>
      </c>
      <c r="C69" s="883">
        <f>+F16+F17+F18</f>
        <v>265.609794526796</v>
      </c>
      <c r="D69" s="884">
        <f t="shared" ref="D69:D72" si="5">+C69/$C$72</f>
        <v>0.531037607612143</v>
      </c>
      <c r="L69" s="904"/>
      <c r="M69" s="892"/>
    </row>
    <row r="70" s="80" customFormat="1" ht="12.75" spans="2:13">
      <c r="B70" s="311" t="s">
        <v>290</v>
      </c>
      <c r="C70" s="883">
        <f>+F19+F20</f>
        <v>47.5921986780096</v>
      </c>
      <c r="D70" s="884">
        <f t="shared" si="5"/>
        <v>0.095151789759855</v>
      </c>
      <c r="L70" s="890"/>
      <c r="M70" s="892"/>
    </row>
    <row r="71" s="80" customFormat="1" ht="12.75" spans="2:13">
      <c r="B71" s="311" t="s">
        <v>293</v>
      </c>
      <c r="C71" s="883">
        <f>+F21+F22+F23+F24</f>
        <v>26.5156535491768</v>
      </c>
      <c r="D71" s="884">
        <f t="shared" si="5"/>
        <v>0.0530131400090621</v>
      </c>
      <c r="L71" s="890"/>
      <c r="M71" s="892"/>
    </row>
    <row r="72" s="80" customFormat="1" ht="12.75" spans="2:13">
      <c r="B72" s="885" t="s">
        <v>170</v>
      </c>
      <c r="C72" s="886">
        <f>+SUM(C68:C71)</f>
        <v>500.171345154129</v>
      </c>
      <c r="D72" s="932">
        <f t="shared" si="5"/>
        <v>1</v>
      </c>
      <c r="L72" s="890"/>
      <c r="M72" s="892"/>
    </row>
    <row r="73" s="80" customFormat="1" customHeight="1" spans="2:13">
      <c r="B73" s="80" t="s">
        <v>333</v>
      </c>
      <c r="L73" s="890"/>
      <c r="M73" s="892"/>
    </row>
    <row r="74" s="80" customFormat="1" customHeight="1" spans="12:13">
      <c r="L74" s="890"/>
      <c r="M74" s="892"/>
    </row>
    <row r="75" s="80" customFormat="1" customHeight="1" spans="2:13">
      <c r="B75" s="319" t="s">
        <v>334</v>
      </c>
      <c r="L75" s="890"/>
      <c r="M75" s="892"/>
    </row>
    <row r="76" s="80" customFormat="1" customHeight="1" spans="2:13">
      <c r="B76" s="885" t="s">
        <v>335</v>
      </c>
      <c r="C76" s="885" t="s">
        <v>320</v>
      </c>
      <c r="L76" s="890"/>
      <c r="M76" s="892"/>
    </row>
    <row r="77" s="80" customFormat="1" customHeight="1" spans="2:13">
      <c r="B77" s="311" t="s">
        <v>309</v>
      </c>
      <c r="C77" s="847">
        <f>+G36</f>
        <v>4.41</v>
      </c>
      <c r="L77" s="890"/>
      <c r="M77" s="892"/>
    </row>
    <row r="78" s="80" customFormat="1" customHeight="1" spans="2:13">
      <c r="B78" s="311" t="s">
        <v>312</v>
      </c>
      <c r="C78" s="847">
        <f>+G39</f>
        <v>2.98</v>
      </c>
      <c r="L78" s="890"/>
      <c r="M78" s="892"/>
    </row>
    <row r="79" s="80" customFormat="1" customHeight="1" spans="2:13">
      <c r="B79" s="311" t="s">
        <v>336</v>
      </c>
      <c r="C79" s="847">
        <f>+F41</f>
        <v>4.41927559152946</v>
      </c>
      <c r="L79" s="890"/>
      <c r="M79" s="892"/>
    </row>
    <row r="80" s="80" customFormat="1" customHeight="1" spans="2:13">
      <c r="B80" s="885" t="s">
        <v>170</v>
      </c>
      <c r="C80" s="886">
        <f>+SUM(C77:C79)</f>
        <v>11.8092755915295</v>
      </c>
      <c r="L80" s="890"/>
      <c r="M80" s="892"/>
    </row>
    <row r="81" s="80" customFormat="1" customHeight="1" spans="2:13">
      <c r="B81" s="80" t="s">
        <v>333</v>
      </c>
      <c r="L81" s="890"/>
      <c r="M81" s="892"/>
    </row>
    <row r="82" s="80" customFormat="1" customHeight="1" spans="12:13">
      <c r="L82" s="890"/>
      <c r="M82" s="892"/>
    </row>
    <row r="83" s="80" customFormat="1" customHeight="1" spans="2:13">
      <c r="B83" s="319" t="s">
        <v>337</v>
      </c>
      <c r="L83" s="890"/>
      <c r="M83" s="892"/>
    </row>
    <row r="84" s="80" customFormat="1" customHeight="1" spans="2:13">
      <c r="B84" s="885" t="s">
        <v>338</v>
      </c>
      <c r="C84" s="885" t="s">
        <v>320</v>
      </c>
      <c r="D84" s="885" t="s">
        <v>329</v>
      </c>
      <c r="L84" s="890"/>
      <c r="M84" s="892"/>
    </row>
    <row r="85" s="80" customFormat="1" customHeight="1" spans="2:13">
      <c r="B85" s="311" t="s">
        <v>339</v>
      </c>
      <c r="C85" s="839">
        <f>+C80</f>
        <v>11.8092755915295</v>
      </c>
      <c r="D85" s="933">
        <f>+C85/C87</f>
        <v>0.0102801309176136</v>
      </c>
      <c r="L85" s="890"/>
      <c r="M85" s="892"/>
    </row>
    <row r="86" s="80" customFormat="1" customHeight="1" spans="2:13">
      <c r="B86" s="311" t="s">
        <v>340</v>
      </c>
      <c r="C86" s="834">
        <f>+C87-C85</f>
        <v>1136.93831198013</v>
      </c>
      <c r="D86" s="933">
        <f>+C86/C87</f>
        <v>0.989719869082386</v>
      </c>
      <c r="L86" s="890"/>
      <c r="M86" s="892"/>
    </row>
    <row r="87" s="80" customFormat="1" customHeight="1" spans="2:13">
      <c r="B87" s="885" t="s">
        <v>170</v>
      </c>
      <c r="C87" s="886">
        <f>+C63</f>
        <v>1148.74758757166</v>
      </c>
      <c r="D87" s="934">
        <v>1</v>
      </c>
      <c r="L87" s="890"/>
      <c r="M87" s="892"/>
    </row>
    <row r="88" s="80" customFormat="1" customHeight="1" spans="2:13">
      <c r="B88" s="80" t="s">
        <v>333</v>
      </c>
      <c r="L88" s="890"/>
      <c r="M88" s="892"/>
    </row>
    <row r="89" s="80" customFormat="1" customHeight="1" spans="2:13">
      <c r="B89" s="80" t="s">
        <v>341</v>
      </c>
      <c r="C89" s="935"/>
      <c r="D89" s="935"/>
      <c r="L89" s="890"/>
      <c r="M89" s="892"/>
    </row>
    <row r="90" s="80" customFormat="1" customHeight="1" spans="2:12">
      <c r="B90" s="80" t="s">
        <v>342</v>
      </c>
      <c r="C90" s="936"/>
      <c r="D90" s="936"/>
      <c r="L90" s="890"/>
    </row>
    <row r="91" s="80" customFormat="1" customHeight="1" spans="2:13">
      <c r="B91" s="80" t="s">
        <v>343</v>
      </c>
      <c r="C91" s="936"/>
      <c r="D91" s="936"/>
      <c r="J91" s="992" t="s">
        <v>344</v>
      </c>
      <c r="L91" s="890"/>
      <c r="M91" s="892"/>
    </row>
    <row r="92" s="80" customFormat="1" customHeight="1" spans="3:13">
      <c r="C92" s="936"/>
      <c r="D92" s="936"/>
      <c r="L92" s="890"/>
      <c r="M92" s="892"/>
    </row>
    <row r="93" s="80" customFormat="1" customHeight="1" spans="2:13">
      <c r="B93" s="319" t="s">
        <v>345</v>
      </c>
      <c r="C93" s="936"/>
      <c r="D93" s="936"/>
      <c r="L93" s="890"/>
      <c r="M93" s="892"/>
    </row>
    <row r="94" s="80" customFormat="1" ht="38.25" spans="2:14">
      <c r="B94" s="869" t="s">
        <v>10</v>
      </c>
      <c r="C94" s="869" t="s">
        <v>346</v>
      </c>
      <c r="D94" s="937" t="s">
        <v>347</v>
      </c>
      <c r="E94" s="937" t="s">
        <v>348</v>
      </c>
      <c r="F94" s="854" t="s">
        <v>349</v>
      </c>
      <c r="M94" s="890"/>
      <c r="N94" s="892"/>
    </row>
    <row r="95" s="80" customFormat="1" customHeight="1" spans="2:14">
      <c r="B95" s="938" t="s">
        <v>350</v>
      </c>
      <c r="C95" s="939"/>
      <c r="D95" s="939"/>
      <c r="E95" s="940">
        <f>+C87</f>
        <v>1148.74758757166</v>
      </c>
      <c r="F95" s="941">
        <v>1</v>
      </c>
      <c r="G95" s="319"/>
      <c r="M95" s="890"/>
      <c r="N95" s="892"/>
    </row>
    <row r="96" s="80" customFormat="1" customHeight="1" spans="2:14">
      <c r="B96" s="942" t="s">
        <v>351</v>
      </c>
      <c r="C96" s="943"/>
      <c r="D96" s="943"/>
      <c r="E96" s="944">
        <f>+C85</f>
        <v>11.8092755915295</v>
      </c>
      <c r="F96" s="945">
        <f>+E96/E95</f>
        <v>0.0102801309176136</v>
      </c>
      <c r="G96" s="316"/>
      <c r="M96" s="890"/>
      <c r="N96" s="892"/>
    </row>
    <row r="97" s="80" customFormat="1" customHeight="1" spans="2:14">
      <c r="B97" s="946" t="s">
        <v>352</v>
      </c>
      <c r="C97" s="947"/>
      <c r="D97" s="947"/>
      <c r="E97" s="948">
        <f>+SUM(E98:E109)</f>
        <v>247.776771052629</v>
      </c>
      <c r="F97" s="949">
        <f>+E97/E95</f>
        <v>0.215692963130748</v>
      </c>
      <c r="G97" s="316"/>
      <c r="M97" s="890"/>
      <c r="N97" s="892"/>
    </row>
    <row r="98" s="80" customFormat="1" customHeight="1" spans="2:14">
      <c r="B98" s="950" t="s">
        <v>220</v>
      </c>
      <c r="C98" s="951">
        <v>0.636</v>
      </c>
      <c r="D98" s="952">
        <f>1-C98</f>
        <v>0.364</v>
      </c>
      <c r="E98" s="953">
        <f>+D98*H12</f>
        <v>17.2410671744203</v>
      </c>
      <c r="F98" s="954">
        <f>+E98/$C$87</f>
        <v>0.0150085774812083</v>
      </c>
      <c r="G98" s="316"/>
      <c r="M98" s="890"/>
      <c r="N98" s="892"/>
    </row>
    <row r="99" s="80" customFormat="1" customHeight="1" spans="2:14">
      <c r="B99" s="950" t="s">
        <v>282</v>
      </c>
      <c r="C99" s="951">
        <v>0.636</v>
      </c>
      <c r="D99" s="952">
        <f t="shared" ref="D99:D109" si="6">1-C99</f>
        <v>0.364</v>
      </c>
      <c r="E99" s="953">
        <f>+D99*H13</f>
        <v>35.3895589369679</v>
      </c>
      <c r="F99" s="954">
        <f t="shared" ref="F99:F109" si="7">+E99/$C$87</f>
        <v>0.0308070800930064</v>
      </c>
      <c r="G99" s="316"/>
      <c r="M99" s="890"/>
      <c r="N99" s="892"/>
    </row>
    <row r="100" s="80" customFormat="1" customHeight="1" spans="2:14">
      <c r="B100" s="950" t="s">
        <v>284</v>
      </c>
      <c r="C100" s="951">
        <v>0.636</v>
      </c>
      <c r="D100" s="952">
        <f t="shared" si="6"/>
        <v>0.364</v>
      </c>
      <c r="E100" s="953">
        <f t="shared" ref="E100:E109" si="8">+D100*H15</f>
        <v>5.77452010626517</v>
      </c>
      <c r="F100" s="954">
        <f t="shared" si="7"/>
        <v>0.00502679628557214</v>
      </c>
      <c r="G100" s="316"/>
      <c r="M100" s="890"/>
      <c r="N100" s="892"/>
    </row>
    <row r="101" s="80" customFormat="1" customHeight="1" spans="2:14">
      <c r="B101" s="950" t="s">
        <v>285</v>
      </c>
      <c r="C101" s="951">
        <v>0.6</v>
      </c>
      <c r="D101" s="952">
        <f t="shared" si="6"/>
        <v>0.4</v>
      </c>
      <c r="E101" s="953">
        <f t="shared" si="8"/>
        <v>32.0454137765265</v>
      </c>
      <c r="F101" s="954">
        <f t="shared" si="7"/>
        <v>0.0278959574089443</v>
      </c>
      <c r="G101" s="316"/>
      <c r="M101" s="890"/>
      <c r="N101" s="892"/>
    </row>
    <row r="102" s="80" customFormat="1" customHeight="1" spans="2:14">
      <c r="B102" s="950" t="s">
        <v>287</v>
      </c>
      <c r="C102" s="951">
        <v>0.6</v>
      </c>
      <c r="D102" s="952">
        <f t="shared" si="6"/>
        <v>0.4</v>
      </c>
      <c r="E102" s="953">
        <f t="shared" si="8"/>
        <v>43.9661263977803</v>
      </c>
      <c r="F102" s="954">
        <f t="shared" si="7"/>
        <v>0.0382730957378727</v>
      </c>
      <c r="G102" s="316"/>
      <c r="M102" s="890"/>
      <c r="N102" s="892"/>
    </row>
    <row r="103" s="80" customFormat="1" customHeight="1" spans="2:14">
      <c r="B103" s="950" t="s">
        <v>288</v>
      </c>
      <c r="C103" s="951">
        <v>0.3</v>
      </c>
      <c r="D103" s="952">
        <f t="shared" si="6"/>
        <v>0.7</v>
      </c>
      <c r="E103" s="953">
        <f t="shared" si="8"/>
        <v>52.9066608637207</v>
      </c>
      <c r="F103" s="954">
        <f t="shared" si="7"/>
        <v>0.0460559494845689</v>
      </c>
      <c r="G103" s="316"/>
      <c r="M103" s="890"/>
      <c r="N103" s="892"/>
    </row>
    <row r="104" s="80" customFormat="1" customHeight="1" spans="2:14">
      <c r="B104" s="950" t="s">
        <v>289</v>
      </c>
      <c r="C104" s="951">
        <v>0.25</v>
      </c>
      <c r="D104" s="952">
        <f t="shared" si="6"/>
        <v>0.75</v>
      </c>
      <c r="E104" s="953">
        <f t="shared" si="8"/>
        <v>8.24364869958381</v>
      </c>
      <c r="F104" s="954">
        <f t="shared" si="7"/>
        <v>0.00717620545085113</v>
      </c>
      <c r="G104" s="316"/>
      <c r="M104" s="890"/>
      <c r="N104" s="892"/>
    </row>
    <row r="105" s="80" customFormat="1" customHeight="1" spans="2:14">
      <c r="B105" s="950" t="s">
        <v>291</v>
      </c>
      <c r="C105" s="951">
        <v>0.25</v>
      </c>
      <c r="D105" s="952">
        <f t="shared" si="6"/>
        <v>0.75</v>
      </c>
      <c r="E105" s="953">
        <f t="shared" si="8"/>
        <v>27.4505003089234</v>
      </c>
      <c r="F105" s="954">
        <f t="shared" si="7"/>
        <v>0.0238960243363393</v>
      </c>
      <c r="G105" s="316"/>
      <c r="M105" s="890"/>
      <c r="N105" s="892"/>
    </row>
    <row r="106" s="80" customFormat="1" customHeight="1" spans="2:14">
      <c r="B106" s="950" t="s">
        <v>292</v>
      </c>
      <c r="C106" s="951">
        <v>0.02</v>
      </c>
      <c r="D106" s="952">
        <f t="shared" si="6"/>
        <v>0.98</v>
      </c>
      <c r="E106" s="953">
        <f t="shared" si="8"/>
        <v>6.66290781492135</v>
      </c>
      <c r="F106" s="954">
        <f t="shared" si="7"/>
        <v>0.00580014956027555</v>
      </c>
      <c r="G106" s="316"/>
      <c r="M106" s="890"/>
      <c r="N106" s="892"/>
    </row>
    <row r="107" s="80" customFormat="1" customHeight="1" spans="2:14">
      <c r="B107" s="955" t="s">
        <v>294</v>
      </c>
      <c r="C107" s="956">
        <v>0.05</v>
      </c>
      <c r="D107" s="957">
        <f t="shared" si="6"/>
        <v>0.95</v>
      </c>
      <c r="E107" s="958">
        <f t="shared" si="8"/>
        <v>14.7479158522451</v>
      </c>
      <c r="F107" s="959">
        <f t="shared" si="7"/>
        <v>0.0128382562120725</v>
      </c>
      <c r="G107" s="316"/>
      <c r="M107" s="890"/>
      <c r="N107" s="892"/>
    </row>
    <row r="108" s="80" customFormat="1" customHeight="1" spans="2:14">
      <c r="B108" s="950" t="s">
        <v>295</v>
      </c>
      <c r="C108" s="951">
        <v>0.0499999999999999</v>
      </c>
      <c r="D108" s="952">
        <f t="shared" si="6"/>
        <v>0.95</v>
      </c>
      <c r="E108" s="953">
        <f t="shared" si="8"/>
        <v>2.26062943720546</v>
      </c>
      <c r="F108" s="954">
        <f t="shared" si="7"/>
        <v>0.00196790788652206</v>
      </c>
      <c r="G108" s="316"/>
      <c r="M108" s="890"/>
      <c r="N108" s="892"/>
    </row>
    <row r="109" s="80" customFormat="1" customHeight="1" spans="2:14">
      <c r="B109" s="950" t="s">
        <v>296</v>
      </c>
      <c r="C109" s="951">
        <v>0.4</v>
      </c>
      <c r="D109" s="952">
        <f t="shared" si="6"/>
        <v>0.6</v>
      </c>
      <c r="E109" s="953">
        <f t="shared" si="8"/>
        <v>1.08782168406879</v>
      </c>
      <c r="F109" s="954">
        <f t="shared" si="7"/>
        <v>0.000946963193514375</v>
      </c>
      <c r="G109" s="316"/>
      <c r="M109" s="890"/>
      <c r="N109" s="892"/>
    </row>
    <row r="110" s="80" customFormat="1" customHeight="1" spans="2:14">
      <c r="B110" s="946" t="s">
        <v>353</v>
      </c>
      <c r="C110" s="960"/>
      <c r="D110" s="960"/>
      <c r="E110" s="961">
        <f>+E111+E115</f>
        <v>509.234994787777</v>
      </c>
      <c r="F110" s="962">
        <f>+E110/$E$95</f>
        <v>0.443295812149865</v>
      </c>
      <c r="G110" s="316"/>
      <c r="M110" s="890"/>
      <c r="N110" s="892"/>
    </row>
    <row r="111" s="80" customFormat="1" customHeight="1" spans="2:14">
      <c r="B111" s="963" t="s">
        <v>354</v>
      </c>
      <c r="C111" s="315"/>
      <c r="D111" s="315"/>
      <c r="E111" s="964">
        <f>SUM(E112:E114)</f>
        <v>87.6287431643714</v>
      </c>
      <c r="F111" s="965">
        <f>+E111/E95</f>
        <v>0.0762819823192058</v>
      </c>
      <c r="G111" s="316"/>
      <c r="M111" s="890"/>
      <c r="N111" s="892"/>
    </row>
    <row r="112" s="80" customFormat="1" ht="12.75" spans="2:14">
      <c r="B112" s="966" t="s">
        <v>273</v>
      </c>
      <c r="C112" s="311"/>
      <c r="D112" s="967">
        <v>0.4</v>
      </c>
      <c r="E112" s="953">
        <f>+D112*H8</f>
        <v>71.175440192831</v>
      </c>
      <c r="F112" s="968">
        <f>+E112/$C$87</f>
        <v>0.0619591640173008</v>
      </c>
      <c r="G112" s="316"/>
      <c r="H112" s="969"/>
      <c r="M112" s="890"/>
      <c r="N112" s="892"/>
    </row>
    <row r="113" s="80" customFormat="1" ht="12.75" spans="2:14">
      <c r="B113" s="966" t="s">
        <v>276</v>
      </c>
      <c r="C113" s="311"/>
      <c r="D113" s="967">
        <v>0.4</v>
      </c>
      <c r="E113" s="953">
        <f>+D113*H9</f>
        <v>15.4108071909745</v>
      </c>
      <c r="F113" s="968">
        <f t="shared" ref="F113:F119" si="9">+E113/$C$87</f>
        <v>0.0134153119081203</v>
      </c>
      <c r="G113" s="316"/>
      <c r="M113" s="890"/>
      <c r="N113" s="892"/>
    </row>
    <row r="114" s="80" customFormat="1" ht="12.75" spans="2:14">
      <c r="B114" s="966" t="s">
        <v>277</v>
      </c>
      <c r="C114" s="311"/>
      <c r="D114" s="967">
        <v>0.4</v>
      </c>
      <c r="E114" s="953">
        <f>+D114*H10</f>
        <v>1.04249578056592</v>
      </c>
      <c r="F114" s="968">
        <f t="shared" si="9"/>
        <v>0.00090750639378461</v>
      </c>
      <c r="G114" s="316"/>
      <c r="M114" s="890"/>
      <c r="N114" s="892"/>
    </row>
    <row r="115" s="80" customFormat="1" ht="12.75" spans="2:14">
      <c r="B115" s="963" t="s">
        <v>355</v>
      </c>
      <c r="C115" s="315"/>
      <c r="D115" s="970">
        <v>0.526</v>
      </c>
      <c r="E115" s="971">
        <f>+(C86-E97-E111)*D115</f>
        <v>421.606251623405</v>
      </c>
      <c r="F115" s="965">
        <f>+E115/E95</f>
        <v>0.36701382983066</v>
      </c>
      <c r="G115" s="316"/>
      <c r="M115" s="890"/>
      <c r="N115" s="892"/>
    </row>
    <row r="116" s="80" customFormat="1" ht="12.75" spans="2:14">
      <c r="B116" s="946" t="s">
        <v>356</v>
      </c>
      <c r="C116" s="960"/>
      <c r="D116" s="972">
        <f>+E116/(E95-E96-E97)</f>
        <v>0.19056185110084</v>
      </c>
      <c r="E116" s="973">
        <f>+F116*E95</f>
        <v>169.440269166819</v>
      </c>
      <c r="F116" s="962">
        <v>0.1475</v>
      </c>
      <c r="G116" s="316"/>
      <c r="M116" s="890"/>
      <c r="N116" s="892"/>
    </row>
    <row r="117" s="80" customFormat="1" ht="12.75" spans="2:14">
      <c r="B117" s="974" t="s">
        <v>357</v>
      </c>
      <c r="C117" s="975"/>
      <c r="D117" s="976">
        <v>0.554</v>
      </c>
      <c r="E117" s="948">
        <f>+(E95-E96-E97-E110)*D117</f>
        <v>210.479306561406</v>
      </c>
      <c r="F117" s="977">
        <f>+E117/E95</f>
        <v>0.183225025966182</v>
      </c>
      <c r="G117" s="316"/>
      <c r="H117" s="316"/>
      <c r="M117" s="890"/>
      <c r="N117" s="892"/>
    </row>
    <row r="118" s="80" customFormat="1" ht="12.75" spans="2:13">
      <c r="B118" s="978" t="s">
        <v>358</v>
      </c>
      <c r="C118" s="979"/>
      <c r="D118" s="980">
        <v>0.416</v>
      </c>
      <c r="E118" s="981">
        <f>+G118*E117</f>
        <v>158.049443194125</v>
      </c>
      <c r="F118" s="982">
        <f t="shared" si="9"/>
        <v>0.137584135021538</v>
      </c>
      <c r="G118" s="983">
        <f>+D118/D117</f>
        <v>0.750902527075812</v>
      </c>
      <c r="L118" s="890"/>
      <c r="M118" s="892"/>
    </row>
    <row r="119" s="80" customFormat="1" customHeight="1" spans="2:12">
      <c r="B119" s="978" t="s">
        <v>359</v>
      </c>
      <c r="C119" s="979"/>
      <c r="D119" s="980">
        <v>0.1383</v>
      </c>
      <c r="E119" s="981">
        <f>+ROUNDDOWN(E117*G119,1)</f>
        <v>52.5</v>
      </c>
      <c r="F119" s="982">
        <f t="shared" si="9"/>
        <v>0.0457019458129875</v>
      </c>
      <c r="G119" s="983">
        <f>+D119/D117</f>
        <v>0.249638989169675</v>
      </c>
      <c r="L119" s="892"/>
    </row>
    <row r="120" s="80" customFormat="1" customHeight="1" spans="2:12">
      <c r="B120" s="984"/>
      <c r="C120" s="984"/>
      <c r="D120" s="985"/>
      <c r="E120" s="986">
        <f>+E96+E97+E110+E116+E117</f>
        <v>1148.74061716016</v>
      </c>
      <c r="F120" s="987"/>
      <c r="K120" s="890"/>
      <c r="L120" s="892"/>
    </row>
    <row r="121" s="80" customFormat="1" ht="27" customHeight="1" spans="2:13">
      <c r="B121" s="984"/>
      <c r="C121" s="984"/>
      <c r="D121" s="984"/>
      <c r="E121" s="985"/>
      <c r="F121" s="988"/>
      <c r="G121" s="987"/>
      <c r="L121" s="890"/>
      <c r="M121" s="892"/>
    </row>
    <row r="122" s="80" customFormat="1" ht="43.2" customHeight="1" spans="2:13">
      <c r="B122" s="984"/>
      <c r="C122" s="984"/>
      <c r="D122" s="985"/>
      <c r="E122" s="988"/>
      <c r="F122" s="987"/>
      <c r="G122" s="319"/>
      <c r="L122" s="890"/>
      <c r="M122" s="892"/>
    </row>
    <row r="123" s="80" customFormat="1" ht="21" customHeight="1" spans="2:13">
      <c r="B123" s="80" t="s">
        <v>333</v>
      </c>
      <c r="C123" s="81"/>
      <c r="D123" s="989"/>
      <c r="E123" s="990"/>
      <c r="H123" s="991"/>
      <c r="L123" s="890"/>
      <c r="M123" s="892"/>
    </row>
    <row r="124" s="80" customFormat="1" ht="12.75" spans="2:12">
      <c r="B124" s="80" t="s">
        <v>360</v>
      </c>
      <c r="C124" s="936"/>
      <c r="D124" s="936"/>
      <c r="H124" s="991"/>
      <c r="L124" s="890"/>
    </row>
    <row r="125" s="80" customFormat="1" ht="51" spans="2:7">
      <c r="B125" s="991" t="s">
        <v>361</v>
      </c>
      <c r="C125" s="991"/>
      <c r="D125" s="991"/>
      <c r="E125" s="991"/>
      <c r="F125" s="991"/>
      <c r="G125" s="991"/>
    </row>
    <row r="126" s="80" customFormat="1" ht="114.75" spans="2:7">
      <c r="B126" s="991" t="s">
        <v>362</v>
      </c>
      <c r="C126" s="991"/>
      <c r="D126" s="991"/>
      <c r="E126" s="991"/>
      <c r="F126" s="991"/>
      <c r="G126" s="991"/>
    </row>
    <row r="127" s="80" customFormat="1" ht="12.75" spans="2:5">
      <c r="B127" s="991"/>
      <c r="C127" s="991"/>
      <c r="D127" s="991"/>
      <c r="E127" s="991"/>
    </row>
    <row r="128" s="80" customFormat="1" ht="12.75" spans="2:7">
      <c r="B128" s="319" t="s">
        <v>363</v>
      </c>
      <c r="G128" s="969"/>
    </row>
    <row r="129" s="80" customFormat="1" ht="12.75" spans="2:4">
      <c r="B129" s="993" t="s">
        <v>338</v>
      </c>
      <c r="C129" s="993" t="s">
        <v>320</v>
      </c>
      <c r="D129" s="885" t="s">
        <v>329</v>
      </c>
    </row>
    <row r="130" s="80" customFormat="1" ht="12.75" spans="2:4">
      <c r="B130" s="994" t="s">
        <v>364</v>
      </c>
      <c r="C130" s="995">
        <f>+ROUND(E116,1)</f>
        <v>169.4</v>
      </c>
      <c r="D130" s="996">
        <f>+F116</f>
        <v>0.1475</v>
      </c>
    </row>
    <row r="131" s="80" customFormat="1" ht="12.75" spans="2:7">
      <c r="B131" s="997" t="s">
        <v>365</v>
      </c>
      <c r="C131" s="995">
        <f>+ROUND(E110,1)</f>
        <v>509.2</v>
      </c>
      <c r="D131" s="996">
        <f>+F110</f>
        <v>0.443295812149865</v>
      </c>
      <c r="F131" s="969"/>
      <c r="G131" s="969"/>
    </row>
    <row r="132" s="80" customFormat="1" ht="12.75" spans="2:4">
      <c r="B132" s="994" t="s">
        <v>366</v>
      </c>
      <c r="C132" s="995">
        <f>+ROUNDDOWN(E118+E119+E96,1)</f>
        <v>222.3</v>
      </c>
      <c r="D132" s="996">
        <f>+F117+F96</f>
        <v>0.193505156883796</v>
      </c>
    </row>
    <row r="133" ht="12.75" spans="1:12">
      <c r="A133" s="80"/>
      <c r="B133" s="994" t="s">
        <v>367</v>
      </c>
      <c r="C133" s="995">
        <f>+ROUND(E97,1)</f>
        <v>247.8</v>
      </c>
      <c r="D133" s="996">
        <f t="shared" ref="D133" si="10">+C133/$C$134</f>
        <v>0.215722120658135</v>
      </c>
      <c r="E133" s="80"/>
      <c r="F133" s="80"/>
      <c r="G133" s="80"/>
      <c r="H133" s="80"/>
      <c r="I133" s="80"/>
      <c r="J133" s="80"/>
      <c r="K133" s="80"/>
      <c r="L133" s="80"/>
    </row>
    <row r="134" ht="12.75" spans="1:9">
      <c r="A134" s="80"/>
      <c r="B134" s="998" t="s">
        <v>170</v>
      </c>
      <c r="C134" s="999">
        <f>ROUND(SUM(C130:C133),1)</f>
        <v>1148.7</v>
      </c>
      <c r="D134" s="1000">
        <f>SUM(D130:D133)</f>
        <v>1.0000230896918</v>
      </c>
      <c r="E134" s="80"/>
      <c r="F134" s="80"/>
      <c r="G134" s="80"/>
      <c r="H134" s="80"/>
      <c r="I134" s="80"/>
    </row>
    <row r="135" ht="12.75" spans="1:7">
      <c r="A135" s="80"/>
      <c r="B135" s="80" t="s">
        <v>333</v>
      </c>
      <c r="C135" s="80"/>
      <c r="D135" s="80"/>
      <c r="E135" s="80"/>
      <c r="F135" s="80"/>
      <c r="G135" s="80"/>
    </row>
    <row r="136" ht="12.75" spans="2:7">
      <c r="B136" s="80"/>
      <c r="C136" s="80"/>
      <c r="D136" s="80"/>
      <c r="E136" s="80"/>
      <c r="F136" s="80"/>
      <c r="G136" s="80"/>
    </row>
  </sheetData>
  <sortState ref="P14:R17">
    <sortCondition ref="Q14:Q17" descending="1"/>
  </sortState>
  <mergeCells count="2">
    <mergeCell ref="B2:M2"/>
    <mergeCell ref="B4:M4"/>
  </mergeCells>
  <pageMargins left="0.7" right="0.7" top="0.75" bottom="0.75" header="0.3" footer="0.3"/>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249977111117893"/>
  </sheetPr>
  <dimension ref="A2:AA151"/>
  <sheetViews>
    <sheetView zoomScale="90" zoomScaleNormal="90" workbookViewId="0">
      <selection activeCell="E10" sqref="E10"/>
    </sheetView>
  </sheetViews>
  <sheetFormatPr defaultColWidth="8.88571428571429" defaultRowHeight="12.75"/>
  <cols>
    <col min="1" max="1" width="3.66666666666667" style="80" customWidth="1"/>
    <col min="2" max="2" width="20.3333333333333" style="80" customWidth="1"/>
    <col min="3" max="3" width="23.552380952381" style="80" customWidth="1"/>
    <col min="4" max="4" width="13.6666666666667" style="80" customWidth="1"/>
    <col min="5" max="6" width="14.4380952380952" style="80" customWidth="1"/>
    <col min="7" max="7" width="12.3333333333333" style="80" customWidth="1"/>
    <col min="8" max="8" width="16.3333333333333" style="80" customWidth="1"/>
    <col min="9" max="9" width="12.4380952380952" style="80" customWidth="1"/>
    <col min="10" max="10" width="13.1047619047619" style="80" customWidth="1"/>
    <col min="11" max="11" width="16.4380952380952" style="80" customWidth="1"/>
    <col min="12" max="12" width="10.552380952381" style="80" customWidth="1"/>
    <col min="13" max="13" width="9.88571428571429" style="80" customWidth="1"/>
    <col min="14" max="14" width="13.6666666666667" style="80" customWidth="1"/>
    <col min="15" max="15" width="9" style="80" customWidth="1"/>
    <col min="16" max="17" width="9.55238095238095" style="80" customWidth="1"/>
    <col min="18" max="18" width="12.6666666666667" style="80" customWidth="1"/>
    <col min="19" max="20" width="9" style="80" customWidth="1"/>
    <col min="21" max="21" width="9.55238095238095" style="80" customWidth="1"/>
    <col min="22" max="24" width="11" style="80" customWidth="1"/>
    <col min="25" max="25" width="18.3333333333333" style="80" customWidth="1"/>
    <col min="26" max="26" width="19.4380952380952" style="80" customWidth="1"/>
    <col min="27" max="27" width="17.3333333333333" style="80" customWidth="1"/>
    <col min="28" max="28" width="11" style="80" customWidth="1"/>
    <col min="29" max="16384" width="8.88571428571429" style="80"/>
  </cols>
  <sheetData>
    <row r="2" ht="21" customHeight="1" spans="2:21">
      <c r="B2" s="2" t="s">
        <v>0</v>
      </c>
      <c r="C2" s="2"/>
      <c r="D2" s="2"/>
      <c r="E2" s="2"/>
      <c r="F2" s="2"/>
      <c r="G2" s="2"/>
      <c r="H2" s="2"/>
      <c r="I2" s="2"/>
      <c r="J2" s="2"/>
      <c r="K2" s="2"/>
      <c r="L2" s="2"/>
      <c r="M2" s="2"/>
      <c r="N2" s="2"/>
      <c r="O2" s="2"/>
      <c r="P2" s="2"/>
      <c r="Q2" s="2"/>
      <c r="R2" s="2"/>
      <c r="S2" s="2"/>
      <c r="T2" s="2"/>
      <c r="U2" s="2"/>
    </row>
    <row r="3" ht="18" customHeight="1"/>
    <row r="4" ht="18" customHeight="1" spans="2:21">
      <c r="B4" s="808" t="s">
        <v>368</v>
      </c>
      <c r="C4" s="808"/>
      <c r="D4" s="808"/>
      <c r="E4" s="808"/>
      <c r="F4" s="808"/>
      <c r="G4" s="808"/>
      <c r="H4" s="808"/>
      <c r="I4" s="808"/>
      <c r="J4" s="808"/>
      <c r="K4" s="808"/>
      <c r="L4" s="808"/>
      <c r="M4" s="808"/>
      <c r="N4" s="808"/>
      <c r="O4" s="808"/>
      <c r="P4" s="808"/>
      <c r="Q4" s="808"/>
      <c r="R4" s="808"/>
      <c r="S4" s="808"/>
      <c r="T4" s="808"/>
      <c r="U4" s="808"/>
    </row>
    <row r="5" ht="12.45" customHeight="1" spans="2:21">
      <c r="B5" s="716"/>
      <c r="C5" s="716"/>
      <c r="D5" s="716"/>
      <c r="E5" s="716"/>
      <c r="F5" s="716"/>
      <c r="G5" s="716"/>
      <c r="H5" s="716"/>
      <c r="I5" s="716"/>
      <c r="J5" s="716"/>
      <c r="K5" s="716"/>
      <c r="L5" s="716"/>
      <c r="M5" s="716"/>
      <c r="N5" s="716"/>
      <c r="O5" s="716"/>
      <c r="P5" s="716"/>
      <c r="Q5" s="716"/>
      <c r="R5" s="716"/>
      <c r="S5" s="716"/>
      <c r="T5" s="716"/>
      <c r="U5" s="716"/>
    </row>
    <row r="6" ht="18" customHeight="1" spans="2:11">
      <c r="B6" s="319" t="s">
        <v>369</v>
      </c>
      <c r="K6" s="828"/>
    </row>
    <row r="7" ht="49.8" customHeight="1" spans="2:25">
      <c r="B7" s="809" t="s">
        <v>251</v>
      </c>
      <c r="C7" s="810"/>
      <c r="D7" s="811" t="s">
        <v>252</v>
      </c>
      <c r="E7" s="812"/>
      <c r="F7" s="813" t="s">
        <v>253</v>
      </c>
      <c r="G7" s="814"/>
      <c r="H7" s="814"/>
      <c r="I7" s="829"/>
      <c r="J7" s="811" t="s">
        <v>370</v>
      </c>
      <c r="K7" s="830"/>
      <c r="L7" s="830"/>
      <c r="M7" s="812"/>
      <c r="N7" s="811" t="s">
        <v>371</v>
      </c>
      <c r="O7" s="830"/>
      <c r="P7" s="830"/>
      <c r="Q7" s="812"/>
      <c r="R7" s="811" t="s">
        <v>372</v>
      </c>
      <c r="S7" s="830"/>
      <c r="T7" s="830"/>
      <c r="U7" s="812"/>
      <c r="Y7" s="81" t="s">
        <v>373</v>
      </c>
    </row>
    <row r="8" ht="45" spans="1:25">
      <c r="A8" s="815"/>
      <c r="B8" s="816" t="s">
        <v>254</v>
      </c>
      <c r="C8" s="817" t="s">
        <v>200</v>
      </c>
      <c r="D8" s="817" t="s">
        <v>374</v>
      </c>
      <c r="E8" s="818" t="s">
        <v>375</v>
      </c>
      <c r="F8" s="818" t="s">
        <v>237</v>
      </c>
      <c r="G8" s="818" t="s">
        <v>247</v>
      </c>
      <c r="H8" s="818" t="s">
        <v>257</v>
      </c>
      <c r="I8" s="831" t="s">
        <v>170</v>
      </c>
      <c r="J8" s="818" t="s">
        <v>376</v>
      </c>
      <c r="K8" s="818" t="s">
        <v>377</v>
      </c>
      <c r="L8" s="818" t="s">
        <v>378</v>
      </c>
      <c r="M8" s="832" t="s">
        <v>379</v>
      </c>
      <c r="N8" s="818" t="s">
        <v>380</v>
      </c>
      <c r="O8" s="818" t="s">
        <v>381</v>
      </c>
      <c r="P8" s="818" t="s">
        <v>382</v>
      </c>
      <c r="Q8" s="832" t="s">
        <v>383</v>
      </c>
      <c r="R8" s="840" t="s">
        <v>384</v>
      </c>
      <c r="S8" s="818" t="s">
        <v>385</v>
      </c>
      <c r="T8" s="818" t="s">
        <v>386</v>
      </c>
      <c r="U8" s="832" t="s">
        <v>387</v>
      </c>
      <c r="V8" s="841" t="s">
        <v>388</v>
      </c>
      <c r="W8" s="841" t="s">
        <v>389</v>
      </c>
      <c r="X8" s="841" t="s">
        <v>390</v>
      </c>
      <c r="Y8" s="841" t="s">
        <v>391</v>
      </c>
    </row>
    <row r="9" spans="1:25">
      <c r="A9" s="819"/>
      <c r="B9" s="487">
        <v>-4</v>
      </c>
      <c r="C9" s="487">
        <v>2020</v>
      </c>
      <c r="D9" s="820">
        <f>+'I.1 Proyecciones Población'!D18</f>
        <v>0</v>
      </c>
      <c r="E9" s="820">
        <v>1</v>
      </c>
      <c r="F9" s="821">
        <v>937674</v>
      </c>
      <c r="G9" s="821">
        <v>26047</v>
      </c>
      <c r="H9" s="821">
        <v>24344</v>
      </c>
      <c r="I9" s="821">
        <f>SUM(F9:H9)</f>
        <v>988065</v>
      </c>
      <c r="J9" s="833">
        <f>+'II. Caracterizacion RSU'!D47</f>
        <v>0.78</v>
      </c>
      <c r="K9" s="834">
        <f t="shared" ref="K9:K52" si="0">+I9*J9/1000</f>
        <v>770.6907</v>
      </c>
      <c r="L9" s="834">
        <f>+K9*365/'I. Parametros Grales'!$C$81</f>
        <v>901.6093125</v>
      </c>
      <c r="M9" s="314">
        <f>+J9*$I9*365/1000</f>
        <v>281302.1055</v>
      </c>
      <c r="N9" s="833">
        <f>+'II. Caracterizacion RSU'!D48</f>
        <v>0.344541</v>
      </c>
      <c r="O9" s="834">
        <f>+I9*N9/1000</f>
        <v>340.428903165</v>
      </c>
      <c r="P9" s="835">
        <f>+O9*365/'I. Parametros Grales'!$C$81</f>
        <v>398.258171971875</v>
      </c>
      <c r="Q9" s="314">
        <f>+N9*$I9*365/1000</f>
        <v>124256.549655225</v>
      </c>
      <c r="R9" s="842">
        <f>+J9+N9</f>
        <v>1.124541</v>
      </c>
      <c r="S9" s="843">
        <f>+K9+O9</f>
        <v>1111.119603165</v>
      </c>
      <c r="T9" s="834">
        <f>+L9+P9</f>
        <v>1299.86748447188</v>
      </c>
      <c r="U9" s="314">
        <f>+M9+Q9</f>
        <v>405558.655155225</v>
      </c>
      <c r="V9" s="311"/>
      <c r="W9" s="311"/>
      <c r="X9" s="311"/>
      <c r="Y9" s="311"/>
    </row>
    <row r="10" spans="2:25">
      <c r="B10" s="487">
        <v>-3</v>
      </c>
      <c r="C10" s="487">
        <v>2021</v>
      </c>
      <c r="D10" s="820">
        <f>+'I.1 Proyecciones Población'!D19</f>
        <v>0.00941774324119205</v>
      </c>
      <c r="E10" s="820">
        <f>+E9*(1+D10)</f>
        <v>1.00941774324119</v>
      </c>
      <c r="F10" s="821">
        <f>+$F$9*E10</f>
        <v>946504.772975942</v>
      </c>
      <c r="G10" s="821">
        <f>+$G$9*E10</f>
        <v>26292.3039582033</v>
      </c>
      <c r="H10" s="821">
        <f>+$H$9*E10</f>
        <v>24573.2655414636</v>
      </c>
      <c r="I10" s="821">
        <f>SUM(F10:H10)</f>
        <v>997370.342475609</v>
      </c>
      <c r="J10" s="833">
        <f>+J9</f>
        <v>0.78</v>
      </c>
      <c r="K10" s="834">
        <f t="shared" si="0"/>
        <v>777.948867130975</v>
      </c>
      <c r="L10" s="834">
        <f>+K10*365/'I. Parametros Grales'!$C$81</f>
        <v>910.100437508993</v>
      </c>
      <c r="M10" s="314">
        <f t="shared" ref="M10:M52" si="1">+J10*$I10*365/1000</f>
        <v>283951.336502806</v>
      </c>
      <c r="N10" s="833">
        <f>+N9</f>
        <v>0.344541</v>
      </c>
      <c r="O10" s="834">
        <f t="shared" ref="O10:O52" si="2">+I10*N10/1000</f>
        <v>343.634975166889</v>
      </c>
      <c r="P10" s="835">
        <f>+O10*365/'I. Parametros Grales'!$C$81</f>
        <v>402.008865179213</v>
      </c>
      <c r="Q10" s="314">
        <f t="shared" ref="Q10:Q52" si="3">+N10*$I10*365/1000</f>
        <v>125426.765935914</v>
      </c>
      <c r="R10" s="842">
        <f t="shared" ref="R10:R52" si="4">+J10+N10</f>
        <v>1.124541</v>
      </c>
      <c r="S10" s="843">
        <f t="shared" ref="S10:S52" si="5">+K10+O10</f>
        <v>1121.58384229786</v>
      </c>
      <c r="T10" s="834">
        <f t="shared" ref="T10:T52" si="6">+L10+P10</f>
        <v>1312.10930268821</v>
      </c>
      <c r="U10" s="314">
        <f t="shared" ref="U10:U52" si="7">+M10+Q10</f>
        <v>409378.10243872</v>
      </c>
      <c r="V10" s="311"/>
      <c r="W10" s="311"/>
      <c r="X10" s="311"/>
      <c r="Y10" s="311"/>
    </row>
    <row r="11" spans="2:25">
      <c r="B11" s="487">
        <v>-2</v>
      </c>
      <c r="C11" s="487">
        <v>2022</v>
      </c>
      <c r="D11" s="820">
        <f>+'I.1 Proyecciones Población'!D20</f>
        <v>0.0111727220277301</v>
      </c>
      <c r="E11" s="820">
        <f t="shared" ref="E11:E52" si="8">+E10*(1+D11)</f>
        <v>1.02069568709628</v>
      </c>
      <c r="F11" s="821">
        <f t="shared" ref="F11" si="9">+$F$9*E11</f>
        <v>957079.807702322</v>
      </c>
      <c r="G11" s="821">
        <f t="shared" ref="G11" si="10">+$G$9*E11</f>
        <v>26586.0605617969</v>
      </c>
      <c r="H11" s="821">
        <f t="shared" ref="H11" si="11">+$H$9*E11</f>
        <v>24847.815806672</v>
      </c>
      <c r="I11" s="821">
        <f t="shared" ref="I11:I52" si="12">SUM(F11:H11)</f>
        <v>1008513.68407079</v>
      </c>
      <c r="J11" s="833">
        <f t="shared" ref="J11:J52" si="13">+J10</f>
        <v>0.78</v>
      </c>
      <c r="K11" s="834">
        <f t="shared" si="0"/>
        <v>786.640673575217</v>
      </c>
      <c r="L11" s="834">
        <f>+K11*365/'I. Parametros Grales'!$C$81</f>
        <v>920.268736714596</v>
      </c>
      <c r="M11" s="314">
        <f t="shared" si="1"/>
        <v>287123.845854954</v>
      </c>
      <c r="N11" s="833">
        <f t="shared" ref="N11:N52" si="14">+N10</f>
        <v>0.344541</v>
      </c>
      <c r="O11" s="834">
        <f t="shared" si="2"/>
        <v>347.474313223434</v>
      </c>
      <c r="P11" s="835">
        <f>+O11*365/'I. Parametros Grales'!$C$81</f>
        <v>406.500398482543</v>
      </c>
      <c r="Q11" s="314">
        <f t="shared" si="3"/>
        <v>126828.124326553</v>
      </c>
      <c r="R11" s="842">
        <f t="shared" si="4"/>
        <v>1.124541</v>
      </c>
      <c r="S11" s="843">
        <f t="shared" si="5"/>
        <v>1134.11498679865</v>
      </c>
      <c r="T11" s="834">
        <f t="shared" si="6"/>
        <v>1326.76913519714</v>
      </c>
      <c r="U11" s="314">
        <f t="shared" si="7"/>
        <v>413951.970181508</v>
      </c>
      <c r="V11" s="844"/>
      <c r="W11" s="311"/>
      <c r="X11" s="311"/>
      <c r="Y11" s="311"/>
    </row>
    <row r="12" spans="2:25">
      <c r="B12" s="487">
        <v>-1</v>
      </c>
      <c r="C12" s="487">
        <v>2023</v>
      </c>
      <c r="D12" s="820">
        <f>+'I.1 Proyecciones Población'!D21</f>
        <v>0.0129022197425597</v>
      </c>
      <c r="E12" s="820">
        <f t="shared" si="8"/>
        <v>1.03386492714148</v>
      </c>
      <c r="F12" s="821">
        <f t="shared" ref="F12:F43" si="15">+$F$9*E12</f>
        <v>969428.261692464</v>
      </c>
      <c r="G12" s="821">
        <f t="shared" ref="G12:G43" si="16">+$G$9*E12</f>
        <v>26929.0797572542</v>
      </c>
      <c r="H12" s="821">
        <f t="shared" ref="H12:H43" si="17">+$H$9*E12</f>
        <v>25168.4077863323</v>
      </c>
      <c r="I12" s="821">
        <f t="shared" si="12"/>
        <v>1021525.74923605</v>
      </c>
      <c r="J12" s="833">
        <f t="shared" si="13"/>
        <v>0.78</v>
      </c>
      <c r="K12" s="834">
        <f t="shared" si="0"/>
        <v>796.790084404119</v>
      </c>
      <c r="L12" s="834">
        <f>+K12*365/'I. Parametros Grales'!$C$81</f>
        <v>932.142246177896</v>
      </c>
      <c r="M12" s="314">
        <f t="shared" si="1"/>
        <v>290828.380807504</v>
      </c>
      <c r="N12" s="833">
        <f t="shared" si="14"/>
        <v>0.344541</v>
      </c>
      <c r="O12" s="834">
        <f t="shared" si="2"/>
        <v>351.957503167538</v>
      </c>
      <c r="P12" s="835">
        <f>+O12*365/'I. Parametros Grales'!$C$81</f>
        <v>411.745155949203</v>
      </c>
      <c r="Q12" s="314">
        <f t="shared" si="3"/>
        <v>128464.488656151</v>
      </c>
      <c r="R12" s="842">
        <f t="shared" si="4"/>
        <v>1.124541</v>
      </c>
      <c r="S12" s="843">
        <f t="shared" si="5"/>
        <v>1148.74758757166</v>
      </c>
      <c r="T12" s="834">
        <f t="shared" si="6"/>
        <v>1343.8874021271</v>
      </c>
      <c r="U12" s="314">
        <f t="shared" si="7"/>
        <v>419292.869463655</v>
      </c>
      <c r="V12" s="314">
        <f>+M12*1000/'I. Parametros Grales'!$C$145</f>
        <v>415469.115439291</v>
      </c>
      <c r="W12" s="314">
        <f>+Q12*1000/'I. Parametros Grales'!$C$145</f>
        <v>183520.698080216</v>
      </c>
      <c r="X12" s="314">
        <f>+U12*1000/'I. Parametros Grales'!$C$145</f>
        <v>598989.813519507</v>
      </c>
      <c r="Y12" s="847">
        <f>+X12*'I. Parametros Grales'!$C$149*'I. Parametros Grales'!$C$148</f>
        <v>756300.269595337</v>
      </c>
    </row>
    <row r="13" spans="2:26">
      <c r="B13" s="822">
        <v>0</v>
      </c>
      <c r="C13" s="822">
        <v>2024</v>
      </c>
      <c r="D13" s="823">
        <f>+'I.1 Proyecciones Población'!D22</f>
        <v>0.0125785666566665</v>
      </c>
      <c r="E13" s="823">
        <f t="shared" si="8"/>
        <v>1.04686946604152</v>
      </c>
      <c r="F13" s="824">
        <f t="shared" si="15"/>
        <v>981622.279701019</v>
      </c>
      <c r="G13" s="824">
        <f t="shared" si="16"/>
        <v>27267.8089819835</v>
      </c>
      <c r="H13" s="824">
        <f t="shared" si="17"/>
        <v>25484.9902813148</v>
      </c>
      <c r="I13" s="824">
        <f t="shared" si="12"/>
        <v>1034375.07896432</v>
      </c>
      <c r="J13" s="836">
        <f t="shared" si="13"/>
        <v>0.78</v>
      </c>
      <c r="K13" s="837">
        <f t="shared" si="0"/>
        <v>806.812561592168</v>
      </c>
      <c r="L13" s="837">
        <f>+K13*365/'I. Parametros Grales'!$C$81</f>
        <v>943.86725955494</v>
      </c>
      <c r="M13" s="838">
        <f t="shared" si="1"/>
        <v>294486.584981141</v>
      </c>
      <c r="N13" s="836">
        <f t="shared" si="14"/>
        <v>0.344541</v>
      </c>
      <c r="O13" s="837">
        <f t="shared" si="2"/>
        <v>356.384624081445</v>
      </c>
      <c r="P13" s="837">
        <f>+O13*365/'I. Parametros Grales'!$C$81</f>
        <v>416.92431983887</v>
      </c>
      <c r="Q13" s="838">
        <f t="shared" si="3"/>
        <v>130080.387789727</v>
      </c>
      <c r="R13" s="845">
        <f t="shared" si="4"/>
        <v>1.124541</v>
      </c>
      <c r="S13" s="846">
        <f t="shared" si="5"/>
        <v>1163.19718567361</v>
      </c>
      <c r="T13" s="837">
        <f t="shared" si="6"/>
        <v>1360.79157939381</v>
      </c>
      <c r="U13" s="838">
        <f t="shared" si="7"/>
        <v>424566.972770869</v>
      </c>
      <c r="V13" s="838">
        <f>+M13*1000/'I. Parametros Grales'!$C$145</f>
        <v>420695.12140163</v>
      </c>
      <c r="W13" s="838">
        <f>+Q13*1000/'I. Parametros Grales'!$C$145</f>
        <v>185829.125413896</v>
      </c>
      <c r="X13" s="838">
        <f>+U13*1000/'I. Parametros Grales'!$C$145</f>
        <v>606524.246815526</v>
      </c>
      <c r="Y13" s="838">
        <f>+X13*'I. Parametros Grales'!$C$149*'I. Parametros Grales'!$C$148</f>
        <v>765813.442948897</v>
      </c>
      <c r="Z13" s="449">
        <f>+X13*0.25</f>
        <v>151631.061703882</v>
      </c>
    </row>
    <row r="14" spans="1:26">
      <c r="A14" s="819"/>
      <c r="B14" s="487">
        <v>1</v>
      </c>
      <c r="C14" s="487">
        <v>2025</v>
      </c>
      <c r="D14" s="820">
        <f>+'I.1 Proyecciones Población'!D23</f>
        <v>0.0120308814608028</v>
      </c>
      <c r="E14" s="820">
        <f t="shared" si="8"/>
        <v>1.0594642284924</v>
      </c>
      <c r="F14" s="821">
        <f t="shared" si="15"/>
        <v>993432.060987385</v>
      </c>
      <c r="G14" s="821">
        <f t="shared" si="16"/>
        <v>27595.8647595416</v>
      </c>
      <c r="H14" s="821">
        <f t="shared" si="17"/>
        <v>25791.597178419</v>
      </c>
      <c r="I14" s="821">
        <f t="shared" si="12"/>
        <v>1046819.52292535</v>
      </c>
      <c r="J14" s="833">
        <f t="shared" si="13"/>
        <v>0.78</v>
      </c>
      <c r="K14" s="834">
        <f t="shared" si="0"/>
        <v>816.51922788177</v>
      </c>
      <c r="L14" s="834">
        <f>+K14*365/'I. Parametros Grales'!$C$81</f>
        <v>955.222814669378</v>
      </c>
      <c r="M14" s="314">
        <f t="shared" si="1"/>
        <v>298029.518176846</v>
      </c>
      <c r="N14" s="833">
        <f t="shared" si="14"/>
        <v>0.344541</v>
      </c>
      <c r="O14" s="834">
        <f t="shared" si="2"/>
        <v>360.672245248221</v>
      </c>
      <c r="P14" s="835">
        <f>+O14*365/'I. Parametros Grales'!$C$81</f>
        <v>421.940286908977</v>
      </c>
      <c r="Q14" s="314">
        <f t="shared" si="3"/>
        <v>131645.369515601</v>
      </c>
      <c r="R14" s="842">
        <f t="shared" si="4"/>
        <v>1.124541</v>
      </c>
      <c r="S14" s="843">
        <f t="shared" si="5"/>
        <v>1177.19147312999</v>
      </c>
      <c r="T14" s="834">
        <f t="shared" si="6"/>
        <v>1377.16310157836</v>
      </c>
      <c r="U14" s="314">
        <f t="shared" si="7"/>
        <v>429674.887692447</v>
      </c>
      <c r="V14" s="314">
        <f>+M14*1000/'I. Parametros Grales'!$C$145</f>
        <v>425756.454538351</v>
      </c>
      <c r="W14" s="314">
        <f>+Q14*1000/'I. Parametros Grales'!$C$145</f>
        <v>188064.813593715</v>
      </c>
      <c r="X14" s="314">
        <f>+U14*1000/'I. Parametros Grales'!$C$145</f>
        <v>613821.268132067</v>
      </c>
      <c r="Y14" s="312">
        <f>+X14*'I. Parametros Grales'!$C$149*'I. Parametros Grales'!$C$148</f>
        <v>775026.853702104</v>
      </c>
      <c r="Z14" s="449">
        <f t="shared" ref="Z14:Z55" si="18">+X14*0.25</f>
        <v>153455.317033017</v>
      </c>
    </row>
    <row r="15" spans="2:26">
      <c r="B15" s="487">
        <v>2</v>
      </c>
      <c r="C15" s="487">
        <v>2026</v>
      </c>
      <c r="D15" s="820">
        <f>+'I.1 Proyecciones Población'!D24</f>
        <v>0.0113100573972168</v>
      </c>
      <c r="E15" s="820">
        <f t="shared" si="8"/>
        <v>1.07144682972695</v>
      </c>
      <c r="F15" s="821">
        <f t="shared" si="15"/>
        <v>1004667.83461739</v>
      </c>
      <c r="G15" s="821">
        <f t="shared" si="16"/>
        <v>27907.9755738978</v>
      </c>
      <c r="H15" s="821">
        <f t="shared" si="17"/>
        <v>26083.3016228729</v>
      </c>
      <c r="I15" s="821">
        <f t="shared" si="12"/>
        <v>1058659.11181416</v>
      </c>
      <c r="J15" s="833">
        <f t="shared" si="13"/>
        <v>0.78</v>
      </c>
      <c r="K15" s="834">
        <f t="shared" si="0"/>
        <v>825.754107215043</v>
      </c>
      <c r="L15" s="834">
        <f>+K15*365/'I. Parametros Grales'!$C$81</f>
        <v>966.026439530419</v>
      </c>
      <c r="M15" s="314">
        <f t="shared" si="1"/>
        <v>301400.249133491</v>
      </c>
      <c r="N15" s="833">
        <f t="shared" si="14"/>
        <v>0.344541</v>
      </c>
      <c r="O15" s="834">
        <f t="shared" si="2"/>
        <v>364.751469043562</v>
      </c>
      <c r="P15" s="835">
        <f>+O15*365/'I. Parametros Grales'!$C$81</f>
        <v>426.712455772116</v>
      </c>
      <c r="Q15" s="314">
        <f t="shared" si="3"/>
        <v>133134.2862009</v>
      </c>
      <c r="R15" s="842">
        <f t="shared" si="4"/>
        <v>1.124541</v>
      </c>
      <c r="S15" s="843">
        <f t="shared" si="5"/>
        <v>1190.50557625861</v>
      </c>
      <c r="T15" s="834">
        <f t="shared" si="6"/>
        <v>1392.73889530253</v>
      </c>
      <c r="U15" s="314">
        <f t="shared" si="7"/>
        <v>434534.535334391</v>
      </c>
      <c r="V15" s="314">
        <f>+M15*1000/'I. Parametros Grales'!$C$145</f>
        <v>430571.784476415</v>
      </c>
      <c r="W15" s="314">
        <f>+Q15*1000/'I. Parametros Grales'!$C$145</f>
        <v>190191.837429857</v>
      </c>
      <c r="X15" s="314">
        <f>+U15*1000/'I. Parametros Grales'!$C$145</f>
        <v>620763.621906273</v>
      </c>
      <c r="Y15" s="312">
        <f>+X15*'I. Parametros Grales'!$C$149*'I. Parametros Grales'!$C$148</f>
        <v>783792.451901859</v>
      </c>
      <c r="Z15" s="449">
        <f t="shared" si="18"/>
        <v>155190.905476568</v>
      </c>
    </row>
    <row r="16" spans="2:26">
      <c r="B16" s="487">
        <v>3</v>
      </c>
      <c r="C16" s="487">
        <v>2027</v>
      </c>
      <c r="D16" s="820">
        <f>+'I.1 Proyecciones Población'!D25</f>
        <v>0.0105436099240631</v>
      </c>
      <c r="E16" s="820">
        <f t="shared" si="8"/>
        <v>1.08274374715396</v>
      </c>
      <c r="F16" s="821">
        <f t="shared" si="15"/>
        <v>1015260.66036885</v>
      </c>
      <c r="G16" s="821">
        <f t="shared" si="16"/>
        <v>28202.2263821193</v>
      </c>
      <c r="H16" s="821">
        <f t="shared" si="17"/>
        <v>26358.3137807161</v>
      </c>
      <c r="I16" s="821">
        <f t="shared" si="12"/>
        <v>1069821.20053168</v>
      </c>
      <c r="J16" s="833">
        <f t="shared" si="13"/>
        <v>0.78</v>
      </c>
      <c r="K16" s="834">
        <f t="shared" si="0"/>
        <v>834.460536414712</v>
      </c>
      <c r="L16" s="834">
        <f>+K16*365/'I. Parametros Grales'!$C$81</f>
        <v>976.21184548516</v>
      </c>
      <c r="M16" s="314">
        <f t="shared" si="1"/>
        <v>304578.09579137</v>
      </c>
      <c r="N16" s="833">
        <f t="shared" si="14"/>
        <v>0.344541</v>
      </c>
      <c r="O16" s="834">
        <f t="shared" si="2"/>
        <v>368.597266252386</v>
      </c>
      <c r="P16" s="835">
        <f>+O16*365/'I. Parametros Grales'!$C$81</f>
        <v>431.211545455516</v>
      </c>
      <c r="Q16" s="314">
        <f t="shared" si="3"/>
        <v>134538.002182121</v>
      </c>
      <c r="R16" s="842">
        <f t="shared" si="4"/>
        <v>1.124541</v>
      </c>
      <c r="S16" s="843">
        <f t="shared" si="5"/>
        <v>1203.0578026671</v>
      </c>
      <c r="T16" s="834">
        <f t="shared" si="6"/>
        <v>1407.42339094068</v>
      </c>
      <c r="U16" s="314">
        <f t="shared" si="7"/>
        <v>439116.097973491</v>
      </c>
      <c r="V16" s="314">
        <f>+M16*1000/'I. Parametros Grales'!$C$145</f>
        <v>435111.565416243</v>
      </c>
      <c r="W16" s="314">
        <f>+Q16*1000/'I. Parametros Grales'!$C$145</f>
        <v>192197.145974458</v>
      </c>
      <c r="X16" s="314">
        <f>+U16*1000/'I. Parametros Grales'!$C$145</f>
        <v>627308.711390701</v>
      </c>
      <c r="Y16" s="312">
        <f>+X16*'I. Parametros Grales'!$C$149*'I. Parametros Grales'!$C$148</f>
        <v>792056.453776138</v>
      </c>
      <c r="Z16" s="449">
        <f t="shared" si="18"/>
        <v>156827.177847675</v>
      </c>
    </row>
    <row r="17" spans="2:26">
      <c r="B17" s="487">
        <v>4</v>
      </c>
      <c r="C17" s="487">
        <v>2028</v>
      </c>
      <c r="D17" s="820">
        <f>+'I.1 Proyecciones Población'!D26</f>
        <v>0.00979350380554252</v>
      </c>
      <c r="E17" s="820">
        <f t="shared" si="8"/>
        <v>1.09334760216214</v>
      </c>
      <c r="F17" s="821">
        <f t="shared" si="15"/>
        <v>1025203.61950979</v>
      </c>
      <c r="G17" s="821">
        <f t="shared" si="16"/>
        <v>28478.4249935174</v>
      </c>
      <c r="H17" s="821">
        <f t="shared" si="17"/>
        <v>26616.4540270352</v>
      </c>
      <c r="I17" s="821">
        <f t="shared" si="12"/>
        <v>1080298.49853034</v>
      </c>
      <c r="J17" s="833">
        <f t="shared" si="13"/>
        <v>0.78</v>
      </c>
      <c r="K17" s="834">
        <f t="shared" si="0"/>
        <v>842.632828853664</v>
      </c>
      <c r="L17" s="834">
        <f>+K17*365/'I. Parametros Grales'!$C$81</f>
        <v>985.772379908934</v>
      </c>
      <c r="M17" s="314">
        <f t="shared" si="1"/>
        <v>307560.982531588</v>
      </c>
      <c r="N17" s="833">
        <f t="shared" si="14"/>
        <v>0.344541</v>
      </c>
      <c r="O17" s="834">
        <f t="shared" si="2"/>
        <v>372.207124982141</v>
      </c>
      <c r="P17" s="835">
        <f>+O17*365/'I. Parametros Grales'!$C$81</f>
        <v>435.434617366928</v>
      </c>
      <c r="Q17" s="314">
        <f t="shared" si="3"/>
        <v>135855.600618482</v>
      </c>
      <c r="R17" s="842">
        <f t="shared" si="4"/>
        <v>1.124541</v>
      </c>
      <c r="S17" s="843">
        <f t="shared" si="5"/>
        <v>1214.83995383581</v>
      </c>
      <c r="T17" s="834">
        <f t="shared" si="6"/>
        <v>1421.20699727586</v>
      </c>
      <c r="U17" s="314">
        <f t="shared" si="7"/>
        <v>443416.583150069</v>
      </c>
      <c r="V17" s="314">
        <f>+M17*1000/'I. Parametros Grales'!$C$145</f>
        <v>439372.832187982</v>
      </c>
      <c r="W17" s="314">
        <f>+Q17*1000/'I. Parametros Grales'!$C$145</f>
        <v>194079.429454974</v>
      </c>
      <c r="X17" s="314">
        <f>+U17*1000/'I. Parametros Grales'!$C$145</f>
        <v>633452.261642956</v>
      </c>
      <c r="Y17" s="312">
        <f>+X17*'I. Parametros Grales'!$C$149*'I. Parametros Grales'!$C$148</f>
        <v>799813.461670399</v>
      </c>
      <c r="Z17" s="449">
        <f t="shared" si="18"/>
        <v>158363.065410739</v>
      </c>
    </row>
    <row r="18" spans="2:26">
      <c r="B18" s="487">
        <v>5</v>
      </c>
      <c r="C18" s="487">
        <v>2029</v>
      </c>
      <c r="D18" s="820">
        <f>+'I.1 Proyecciones Población'!D27</f>
        <v>0.00911548685545349</v>
      </c>
      <c r="E18" s="820">
        <f t="shared" si="8"/>
        <v>1.10331399785809</v>
      </c>
      <c r="F18" s="821">
        <f t="shared" si="15"/>
        <v>1034548.84962759</v>
      </c>
      <c r="G18" s="821">
        <f t="shared" si="16"/>
        <v>28738.0197022098</v>
      </c>
      <c r="H18" s="821">
        <f t="shared" si="17"/>
        <v>26859.0759638575</v>
      </c>
      <c r="I18" s="821">
        <f t="shared" si="12"/>
        <v>1090145.94529366</v>
      </c>
      <c r="J18" s="833">
        <f t="shared" si="13"/>
        <v>0.78</v>
      </c>
      <c r="K18" s="834">
        <f t="shared" si="0"/>
        <v>850.313837329053</v>
      </c>
      <c r="L18" s="834">
        <f>+K18*365/'I. Parametros Grales'!$C$81</f>
        <v>994.758175080463</v>
      </c>
      <c r="M18" s="314">
        <f t="shared" si="1"/>
        <v>310364.550625105</v>
      </c>
      <c r="N18" s="833">
        <f t="shared" si="14"/>
        <v>0.344541</v>
      </c>
      <c r="O18" s="834">
        <f t="shared" si="2"/>
        <v>375.599974137422</v>
      </c>
      <c r="P18" s="835">
        <f>+O18*365/'I. Parametros Grales'!$C$81</f>
        <v>439.403815897946</v>
      </c>
      <c r="Q18" s="314">
        <f t="shared" si="3"/>
        <v>137093.990560159</v>
      </c>
      <c r="R18" s="842">
        <f t="shared" si="4"/>
        <v>1.124541</v>
      </c>
      <c r="S18" s="843">
        <f t="shared" si="5"/>
        <v>1225.91381146648</v>
      </c>
      <c r="T18" s="834">
        <f t="shared" si="6"/>
        <v>1434.16199097841</v>
      </c>
      <c r="U18" s="314">
        <f t="shared" si="7"/>
        <v>447458.541185264</v>
      </c>
      <c r="V18" s="314">
        <f>+M18*1000/'I. Parametros Grales'!$C$145</f>
        <v>443377.929464435</v>
      </c>
      <c r="W18" s="314">
        <f>+Q18*1000/'I. Parametros Grales'!$C$145</f>
        <v>195848.557943084</v>
      </c>
      <c r="X18" s="314">
        <f>+U18*1000/'I. Parametros Grales'!$C$145</f>
        <v>639226.487407519</v>
      </c>
      <c r="Y18" s="312">
        <f>+X18*'I. Parametros Grales'!$C$149*'I. Parametros Grales'!$C$148</f>
        <v>807104.15076707</v>
      </c>
      <c r="Z18" s="449">
        <f t="shared" si="18"/>
        <v>159806.62185188</v>
      </c>
    </row>
    <row r="19" s="319" customFormat="1" spans="1:26">
      <c r="A19" s="819"/>
      <c r="B19" s="487">
        <v>6</v>
      </c>
      <c r="C19" s="487">
        <v>2030</v>
      </c>
      <c r="D19" s="820">
        <f>+'I.1 Proyecciones Población'!D28</f>
        <v>0.00854542236642135</v>
      </c>
      <c r="E19" s="820">
        <f t="shared" si="8"/>
        <v>1.11274228197258</v>
      </c>
      <c r="F19" s="821">
        <f t="shared" si="15"/>
        <v>1043389.50650635</v>
      </c>
      <c r="G19" s="821">
        <f t="shared" si="16"/>
        <v>28983.5982185397</v>
      </c>
      <c r="H19" s="821">
        <f t="shared" si="17"/>
        <v>27088.5981123404</v>
      </c>
      <c r="I19" s="821">
        <f t="shared" si="12"/>
        <v>1099461.70283723</v>
      </c>
      <c r="J19" s="833">
        <f t="shared" si="13"/>
        <v>0.78</v>
      </c>
      <c r="K19" s="834">
        <f t="shared" si="0"/>
        <v>857.580128213043</v>
      </c>
      <c r="L19" s="834">
        <f>+K19*365/'I. Parametros Grales'!$C$81</f>
        <v>1003.25880383898</v>
      </c>
      <c r="M19" s="314">
        <f t="shared" si="1"/>
        <v>313016.746797761</v>
      </c>
      <c r="N19" s="833">
        <f t="shared" si="14"/>
        <v>0.344541</v>
      </c>
      <c r="O19" s="834">
        <f t="shared" si="2"/>
        <v>378.809634557243</v>
      </c>
      <c r="P19" s="835">
        <f>+O19*365/'I. Parametros Grales'!$C$81</f>
        <v>443.158707094211</v>
      </c>
      <c r="Q19" s="314">
        <f t="shared" si="3"/>
        <v>138265.516613394</v>
      </c>
      <c r="R19" s="842">
        <f t="shared" si="4"/>
        <v>1.124541</v>
      </c>
      <c r="S19" s="843">
        <f t="shared" si="5"/>
        <v>1236.38976277029</v>
      </c>
      <c r="T19" s="834">
        <f t="shared" si="6"/>
        <v>1446.41751093319</v>
      </c>
      <c r="U19" s="314">
        <f t="shared" si="7"/>
        <v>451282.263411154</v>
      </c>
      <c r="V19" s="314">
        <f>+M19*1000/'I. Parametros Grales'!$C$145</f>
        <v>447166.781139658</v>
      </c>
      <c r="W19" s="314">
        <f>+Q19*1000/'I. Parametros Grales'!$C$145</f>
        <v>197522.166590563</v>
      </c>
      <c r="X19" s="314">
        <f>+U19*1000/'I. Parametros Grales'!$C$145</f>
        <v>644688.947730221</v>
      </c>
      <c r="Y19" s="312">
        <f>+X19*'I. Parametros Grales'!$C$149*'I. Parametros Grales'!$C$148</f>
        <v>814001.196629066</v>
      </c>
      <c r="Z19" s="449">
        <f t="shared" si="18"/>
        <v>161172.236932555</v>
      </c>
    </row>
    <row r="20" spans="2:26">
      <c r="B20" s="487">
        <v>7</v>
      </c>
      <c r="C20" s="487">
        <v>2031</v>
      </c>
      <c r="D20" s="820">
        <f>+'I.1 Proyecciones Población'!D29</f>
        <v>0.00808320787688857</v>
      </c>
      <c r="E20" s="820">
        <f t="shared" si="8"/>
        <v>1.12173680915116</v>
      </c>
      <c r="F20" s="821">
        <f t="shared" si="15"/>
        <v>1051823.44078401</v>
      </c>
      <c r="G20" s="821">
        <f t="shared" si="16"/>
        <v>29217.8786679604</v>
      </c>
      <c r="H20" s="821">
        <f t="shared" si="17"/>
        <v>27307.560881976</v>
      </c>
      <c r="I20" s="821">
        <f t="shared" si="12"/>
        <v>1108348.88033395</v>
      </c>
      <c r="J20" s="833">
        <f t="shared" si="13"/>
        <v>0.78</v>
      </c>
      <c r="K20" s="834">
        <f t="shared" si="0"/>
        <v>864.512126660478</v>
      </c>
      <c r="L20" s="834">
        <f>+K20*365/'I. Parametros Grales'!$C$81</f>
        <v>1011.36835330473</v>
      </c>
      <c r="M20" s="314">
        <f t="shared" si="1"/>
        <v>315546.926231074</v>
      </c>
      <c r="N20" s="833">
        <f t="shared" si="14"/>
        <v>0.344541</v>
      </c>
      <c r="O20" s="834">
        <f t="shared" si="2"/>
        <v>381.871631579138</v>
      </c>
      <c r="P20" s="835">
        <f>+O20*365/'I. Parametros Grales'!$C$81</f>
        <v>446.740851046107</v>
      </c>
      <c r="Q20" s="314">
        <f t="shared" si="3"/>
        <v>139383.145526385</v>
      </c>
      <c r="R20" s="842">
        <f t="shared" si="4"/>
        <v>1.124541</v>
      </c>
      <c r="S20" s="843">
        <f t="shared" si="5"/>
        <v>1246.38375823962</v>
      </c>
      <c r="T20" s="834">
        <f t="shared" si="6"/>
        <v>1458.10920435083</v>
      </c>
      <c r="U20" s="314">
        <f t="shared" si="7"/>
        <v>454930.07175746</v>
      </c>
      <c r="V20" s="314">
        <f>+M20*1000/'I. Parametros Grales'!$C$145</f>
        <v>450781.323187249</v>
      </c>
      <c r="W20" s="314">
        <f>+Q20*1000/'I. Parametros Grales'!$C$145</f>
        <v>199118.779323408</v>
      </c>
      <c r="X20" s="314">
        <f>+U20*1000/'I. Parametros Grales'!$C$145</f>
        <v>649900.102510657</v>
      </c>
      <c r="Y20" s="312">
        <f>+X20*'I. Parametros Grales'!$C$149*'I. Parametros Grales'!$C$148</f>
        <v>820580.937513456</v>
      </c>
      <c r="Z20" s="449">
        <f t="shared" si="18"/>
        <v>162475.025627664</v>
      </c>
    </row>
    <row r="21" spans="2:26">
      <c r="B21" s="487">
        <v>8</v>
      </c>
      <c r="C21" s="487">
        <v>2032</v>
      </c>
      <c r="D21" s="820">
        <f>+'I.1 Proyecciones Población'!D30</f>
        <v>0.00771534280088886</v>
      </c>
      <c r="E21" s="820">
        <f t="shared" si="8"/>
        <v>1.13039139316614</v>
      </c>
      <c r="F21" s="821">
        <f t="shared" si="15"/>
        <v>1059938.61919567</v>
      </c>
      <c r="G21" s="821">
        <f t="shared" si="16"/>
        <v>29443.3046177985</v>
      </c>
      <c r="H21" s="821">
        <f t="shared" si="17"/>
        <v>27518.2480752365</v>
      </c>
      <c r="I21" s="821">
        <f t="shared" si="12"/>
        <v>1116900.1718887</v>
      </c>
      <c r="J21" s="833">
        <f t="shared" si="13"/>
        <v>0.78</v>
      </c>
      <c r="K21" s="834">
        <f t="shared" si="0"/>
        <v>871.182134073189</v>
      </c>
      <c r="L21" s="834">
        <f>+K21*365/'I. Parametros Grales'!$C$81</f>
        <v>1019.17140684844</v>
      </c>
      <c r="M21" s="314">
        <f t="shared" si="1"/>
        <v>317981.478936714</v>
      </c>
      <c r="N21" s="833">
        <f t="shared" si="14"/>
        <v>0.344541</v>
      </c>
      <c r="O21" s="834">
        <f t="shared" si="2"/>
        <v>384.817902122706</v>
      </c>
      <c r="P21" s="835">
        <f>+O21*365/'I. Parametros Grales'!$C$81</f>
        <v>450.187609855089</v>
      </c>
      <c r="Q21" s="314">
        <f t="shared" si="3"/>
        <v>140458.534274788</v>
      </c>
      <c r="R21" s="842">
        <f t="shared" si="4"/>
        <v>1.124541</v>
      </c>
      <c r="S21" s="843">
        <f t="shared" si="5"/>
        <v>1256.00003619589</v>
      </c>
      <c r="T21" s="834">
        <f t="shared" si="6"/>
        <v>1469.35901670353</v>
      </c>
      <c r="U21" s="314">
        <f t="shared" si="7"/>
        <v>458440.013211502</v>
      </c>
      <c r="V21" s="314">
        <f>+M21*1000/'I. Parametros Grales'!$C$145</f>
        <v>454259.255623877</v>
      </c>
      <c r="W21" s="314">
        <f>+Q21*1000/'I. Parametros Grales'!$C$145</f>
        <v>200655.048963982</v>
      </c>
      <c r="X21" s="314">
        <f>+U21*1000/'I. Parametros Grales'!$C$145</f>
        <v>654914.304587859</v>
      </c>
      <c r="Y21" s="312">
        <f>+X21*'I. Parametros Grales'!$C$149*'I. Parametros Grales'!$C$148</f>
        <v>826912.000742247</v>
      </c>
      <c r="Z21" s="449">
        <f t="shared" si="18"/>
        <v>163728.576146965</v>
      </c>
    </row>
    <row r="22" spans="2:26">
      <c r="B22" s="487">
        <v>9</v>
      </c>
      <c r="C22" s="487">
        <v>2033</v>
      </c>
      <c r="D22" s="820">
        <f>+'I.1 Proyecciones Población'!D31</f>
        <v>0.00743130697706405</v>
      </c>
      <c r="E22" s="825">
        <f t="shared" si="8"/>
        <v>1.13879167861299</v>
      </c>
      <c r="F22" s="821">
        <f t="shared" si="15"/>
        <v>1067815.34845176</v>
      </c>
      <c r="G22" s="821">
        <f t="shared" si="16"/>
        <v>29662.1068528325</v>
      </c>
      <c r="H22" s="821">
        <f t="shared" si="17"/>
        <v>27722.7446241546</v>
      </c>
      <c r="I22" s="821">
        <f t="shared" si="12"/>
        <v>1125200.19992874</v>
      </c>
      <c r="J22" s="833">
        <f t="shared" si="13"/>
        <v>0.78</v>
      </c>
      <c r="K22" s="839">
        <f t="shared" si="0"/>
        <v>877.65615594442</v>
      </c>
      <c r="L22" s="834">
        <f>+K22*365/'I. Parametros Grales'!$C$81</f>
        <v>1026.74518243498</v>
      </c>
      <c r="M22" s="312">
        <f t="shared" si="1"/>
        <v>320344.496919713</v>
      </c>
      <c r="N22" s="833">
        <f t="shared" si="14"/>
        <v>0.344541</v>
      </c>
      <c r="O22" s="839">
        <f t="shared" si="2"/>
        <v>387.677602083649</v>
      </c>
      <c r="P22" s="835">
        <f>+O22*365/'I. Parametros Grales'!$C$81</f>
        <v>453.533092181192</v>
      </c>
      <c r="Q22" s="312">
        <f t="shared" si="3"/>
        <v>141502.324760532</v>
      </c>
      <c r="R22" s="842">
        <f t="shared" si="4"/>
        <v>1.124541</v>
      </c>
      <c r="S22" s="843">
        <f t="shared" si="5"/>
        <v>1265.33375802807</v>
      </c>
      <c r="T22" s="839">
        <f t="shared" si="6"/>
        <v>1480.27827461617</v>
      </c>
      <c r="U22" s="312">
        <f t="shared" si="7"/>
        <v>461846.821680245</v>
      </c>
      <c r="V22" s="312">
        <f>+M22*1000/'I. Parametros Grales'!$C$145</f>
        <v>457634.995599591</v>
      </c>
      <c r="W22" s="312">
        <f>+Q22*1000/'I. Parametros Grales'!$C$145</f>
        <v>202146.178229331</v>
      </c>
      <c r="X22" s="312">
        <f>+U22*1000/'I. Parametros Grales'!$C$145</f>
        <v>659781.173828922</v>
      </c>
      <c r="Y22" s="312">
        <f>+X22*'I. Parametros Grales'!$C$149*'I. Parametros Grales'!$C$148</f>
        <v>833057.03766278</v>
      </c>
      <c r="Z22" s="449">
        <f t="shared" si="18"/>
        <v>164945.29345723</v>
      </c>
    </row>
    <row r="23" spans="2:26">
      <c r="B23" s="487">
        <v>10</v>
      </c>
      <c r="C23" s="487">
        <v>2034</v>
      </c>
      <c r="D23" s="820">
        <f>+'I.1 Proyecciones Población'!D32</f>
        <v>0.0072230686494662</v>
      </c>
      <c r="E23" s="825">
        <f t="shared" si="8"/>
        <v>1.14701724908505</v>
      </c>
      <c r="F23" s="821">
        <f t="shared" si="15"/>
        <v>1075528.25201858</v>
      </c>
      <c r="G23" s="821">
        <f t="shared" si="16"/>
        <v>29876.3582869184</v>
      </c>
      <c r="H23" s="821">
        <f t="shared" si="17"/>
        <v>27922.9879117265</v>
      </c>
      <c r="I23" s="821">
        <f t="shared" si="12"/>
        <v>1133327.59821722</v>
      </c>
      <c r="J23" s="833">
        <f t="shared" si="13"/>
        <v>0.78</v>
      </c>
      <c r="K23" s="839">
        <f t="shared" si="0"/>
        <v>883.995526609433</v>
      </c>
      <c r="L23" s="834">
        <f>+K23*365/'I. Parametros Grales'!$C$81</f>
        <v>1034.16143337322</v>
      </c>
      <c r="M23" s="312">
        <f t="shared" si="1"/>
        <v>322658.367212443</v>
      </c>
      <c r="N23" s="833">
        <f t="shared" si="14"/>
        <v>0.344541</v>
      </c>
      <c r="O23" s="839">
        <f t="shared" si="2"/>
        <v>390.47782401736</v>
      </c>
      <c r="P23" s="835">
        <f>+O23*365/'I. Parametros Grales'!$C$81</f>
        <v>456.808992840822</v>
      </c>
      <c r="Q23" s="312">
        <f t="shared" si="3"/>
        <v>142524.405766336</v>
      </c>
      <c r="R23" s="842">
        <f t="shared" si="4"/>
        <v>1.124541</v>
      </c>
      <c r="S23" s="843">
        <f t="shared" si="5"/>
        <v>1274.47335062679</v>
      </c>
      <c r="T23" s="839">
        <f t="shared" si="6"/>
        <v>1490.97042621404</v>
      </c>
      <c r="U23" s="312">
        <f t="shared" si="7"/>
        <v>465182.77297878</v>
      </c>
      <c r="V23" s="312">
        <f>+M23*1000/'I. Parametros Grales'!$C$145</f>
        <v>460940.524589205</v>
      </c>
      <c r="W23" s="312">
        <f>+Q23*1000/'I. Parametros Grales'!$C$145</f>
        <v>203606.293951909</v>
      </c>
      <c r="X23" s="312">
        <f>+U23*1000/'I. Parametros Grales'!$C$145</f>
        <v>664546.818541114</v>
      </c>
      <c r="Y23" s="312">
        <f>+X23*'I. Parametros Grales'!$C$149*'I. Parametros Grales'!$C$148</f>
        <v>839074.26583474</v>
      </c>
      <c r="Z23" s="449">
        <f t="shared" si="18"/>
        <v>166136.704635278</v>
      </c>
    </row>
    <row r="24" s="319" customFormat="1" spans="1:26">
      <c r="A24" s="819"/>
      <c r="B24" s="487">
        <v>11</v>
      </c>
      <c r="C24" s="487">
        <v>2035</v>
      </c>
      <c r="D24" s="820">
        <f>+'I.1 Proyecciones Población'!D33</f>
        <v>0.00704330193633941</v>
      </c>
      <c r="E24" s="825">
        <f t="shared" si="8"/>
        <v>1.15509603789655</v>
      </c>
      <c r="F24" s="821">
        <f t="shared" si="15"/>
        <v>1083103.52223861</v>
      </c>
      <c r="G24" s="821">
        <f t="shared" si="16"/>
        <v>30086.7864990914</v>
      </c>
      <c r="H24" s="821">
        <f t="shared" si="17"/>
        <v>28119.6579465536</v>
      </c>
      <c r="I24" s="821">
        <f t="shared" si="12"/>
        <v>1141309.96668425</v>
      </c>
      <c r="J24" s="833">
        <f t="shared" si="13"/>
        <v>0.78</v>
      </c>
      <c r="K24" s="839">
        <f t="shared" si="0"/>
        <v>890.221774013717</v>
      </c>
      <c r="L24" s="834">
        <f>+K24*365/'I. Parametros Grales'!$C$81</f>
        <v>1041.44534459938</v>
      </c>
      <c r="M24" s="312">
        <f t="shared" si="1"/>
        <v>324930.947515007</v>
      </c>
      <c r="N24" s="833">
        <f t="shared" si="14"/>
        <v>0.344541</v>
      </c>
      <c r="O24" s="839">
        <f t="shared" si="2"/>
        <v>393.228077231359</v>
      </c>
      <c r="P24" s="835">
        <f>+O24*365/'I. Parametros Grales'!$C$81</f>
        <v>460.026436504635</v>
      </c>
      <c r="Q24" s="312">
        <f t="shared" si="3"/>
        <v>143528.248189446</v>
      </c>
      <c r="R24" s="842">
        <f t="shared" si="4"/>
        <v>1.124541</v>
      </c>
      <c r="S24" s="843">
        <f t="shared" si="5"/>
        <v>1283.44985124508</v>
      </c>
      <c r="T24" s="839">
        <f t="shared" si="6"/>
        <v>1501.47178110402</v>
      </c>
      <c r="U24" s="312">
        <f t="shared" si="7"/>
        <v>468459.195704453</v>
      </c>
      <c r="V24" s="312">
        <f>+M24*1000/'I. Parametros Grales'!$C$145</f>
        <v>464187.067878581</v>
      </c>
      <c r="W24" s="312">
        <f>+Q24*1000/'I. Parametros Grales'!$C$145</f>
        <v>205040.354556351</v>
      </c>
      <c r="X24" s="312">
        <f>+U24*1000/'I. Parametros Grales'!$C$145</f>
        <v>669227.422434932</v>
      </c>
      <c r="Y24" s="312">
        <f>+X24*'I. Parametros Grales'!$C$149*'I. Parametros Grales'!$C$148</f>
        <v>844984.119236026</v>
      </c>
      <c r="Z24" s="449">
        <f t="shared" si="18"/>
        <v>167306.855608733</v>
      </c>
    </row>
    <row r="25" spans="2:26">
      <c r="B25" s="487">
        <v>12</v>
      </c>
      <c r="C25" s="487">
        <v>2036</v>
      </c>
      <c r="D25" s="820">
        <f>+'I.1 Proyecciones Población'!D34</f>
        <v>0.00687997156482224</v>
      </c>
      <c r="E25" s="825">
        <f t="shared" si="8"/>
        <v>1.16304306579191</v>
      </c>
      <c r="F25" s="821">
        <f t="shared" si="15"/>
        <v>1090555.24367337</v>
      </c>
      <c r="G25" s="821">
        <f t="shared" si="16"/>
        <v>30293.782734682</v>
      </c>
      <c r="H25" s="821">
        <f t="shared" si="17"/>
        <v>28313.1203936384</v>
      </c>
      <c r="I25" s="821">
        <f t="shared" si="12"/>
        <v>1149162.14680169</v>
      </c>
      <c r="J25" s="833">
        <f t="shared" si="13"/>
        <v>0.78</v>
      </c>
      <c r="K25" s="839">
        <f t="shared" si="0"/>
        <v>896.346474505317</v>
      </c>
      <c r="L25" s="834">
        <f>+K25*365/'I. Parametros Grales'!$C$81</f>
        <v>1048.61045895654</v>
      </c>
      <c r="M25" s="312">
        <f t="shared" si="1"/>
        <v>327166.463194441</v>
      </c>
      <c r="N25" s="833">
        <f t="shared" si="14"/>
        <v>0.344541</v>
      </c>
      <c r="O25" s="839">
        <f t="shared" si="2"/>
        <v>395.9334752212</v>
      </c>
      <c r="P25" s="835">
        <f>+O25*365/'I. Parametros Grales'!$C$81</f>
        <v>463.191405306853</v>
      </c>
      <c r="Q25" s="312">
        <f t="shared" si="3"/>
        <v>144515.718455738</v>
      </c>
      <c r="R25" s="842">
        <f t="shared" si="4"/>
        <v>1.124541</v>
      </c>
      <c r="S25" s="843">
        <f t="shared" si="5"/>
        <v>1292.27994972652</v>
      </c>
      <c r="T25" s="839">
        <f t="shared" si="6"/>
        <v>1511.80186426339</v>
      </c>
      <c r="U25" s="312">
        <f t="shared" si="7"/>
        <v>471682.181650179</v>
      </c>
      <c r="V25" s="312">
        <f>+M25*1000/'I. Parametros Grales'!$C$145</f>
        <v>467380.661706344</v>
      </c>
      <c r="W25" s="312">
        <f>+Q25*1000/'I. Parametros Grales'!$C$145</f>
        <v>206451.02636534</v>
      </c>
      <c r="X25" s="312">
        <f>+U25*1000/'I. Parametros Grales'!$C$145</f>
        <v>673831.688071684</v>
      </c>
      <c r="Y25" s="312">
        <f>+X25*'I. Parametros Grales'!$C$149*'I. Parametros Grales'!$C$148</f>
        <v>850797.585949096</v>
      </c>
      <c r="Z25" s="449">
        <f t="shared" si="18"/>
        <v>168457.922017921</v>
      </c>
    </row>
    <row r="26" spans="2:26">
      <c r="B26" s="487">
        <v>13</v>
      </c>
      <c r="C26" s="487">
        <v>2037</v>
      </c>
      <c r="D26" s="820">
        <f>+'I.1 Proyecciones Población'!D35</f>
        <v>0.00668817662332954</v>
      </c>
      <c r="E26" s="825">
        <f t="shared" si="8"/>
        <v>1.17082170323647</v>
      </c>
      <c r="F26" s="821">
        <f t="shared" si="15"/>
        <v>1097849.06976055</v>
      </c>
      <c r="G26" s="821">
        <f t="shared" si="16"/>
        <v>30496.3929042003</v>
      </c>
      <c r="H26" s="821">
        <f t="shared" si="17"/>
        <v>28502.4835435886</v>
      </c>
      <c r="I26" s="821">
        <f t="shared" si="12"/>
        <v>1156847.94620834</v>
      </c>
      <c r="J26" s="833">
        <f t="shared" si="13"/>
        <v>0.78</v>
      </c>
      <c r="K26" s="839">
        <f t="shared" si="0"/>
        <v>902.341398042507</v>
      </c>
      <c r="L26" s="834">
        <f>+K26*365/'I. Parametros Grales'!$C$81</f>
        <v>1055.62375091511</v>
      </c>
      <c r="M26" s="312">
        <f t="shared" si="1"/>
        <v>329354.610285515</v>
      </c>
      <c r="N26" s="833">
        <f t="shared" si="14"/>
        <v>0.344541</v>
      </c>
      <c r="O26" s="839">
        <f t="shared" si="2"/>
        <v>398.581548234569</v>
      </c>
      <c r="P26" s="835">
        <f>+O26*365/'I. Parametros Grales'!$C$81</f>
        <v>466.289311235954</v>
      </c>
      <c r="Q26" s="312">
        <f t="shared" si="3"/>
        <v>145482.265105617</v>
      </c>
      <c r="R26" s="842">
        <f t="shared" si="4"/>
        <v>1.124541</v>
      </c>
      <c r="S26" s="843">
        <f t="shared" si="5"/>
        <v>1300.92294627708</v>
      </c>
      <c r="T26" s="839">
        <f t="shared" si="6"/>
        <v>1521.91306215107</v>
      </c>
      <c r="U26" s="312">
        <f t="shared" si="7"/>
        <v>474836.875391133</v>
      </c>
      <c r="V26" s="312">
        <f>+M26*1000/'I. Parametros Grales'!$C$145</f>
        <v>470506.586122164</v>
      </c>
      <c r="W26" s="312">
        <f>+Q26*1000/'I. Parametros Grales'!$C$145</f>
        <v>207831.807293739</v>
      </c>
      <c r="X26" s="312">
        <f>+U26*1000/'I. Parametros Grales'!$C$145</f>
        <v>678338.393415904</v>
      </c>
      <c r="Y26" s="312">
        <f>+X26*'I. Parametros Grales'!$C$149*'I. Parametros Grales'!$C$148</f>
        <v>856487.870474626</v>
      </c>
      <c r="Z26" s="449">
        <f t="shared" si="18"/>
        <v>169584.598353976</v>
      </c>
    </row>
    <row r="27" spans="2:26">
      <c r="B27" s="487">
        <v>14</v>
      </c>
      <c r="C27" s="487">
        <v>2038</v>
      </c>
      <c r="D27" s="820">
        <f>+'I.1 Proyecciones Población'!D36</f>
        <v>0.00642542006735122</v>
      </c>
      <c r="E27" s="825">
        <f t="shared" si="8"/>
        <v>1.17834472450374</v>
      </c>
      <c r="F27" s="821">
        <f t="shared" si="15"/>
        <v>1104903.21120432</v>
      </c>
      <c r="G27" s="821">
        <f t="shared" si="16"/>
        <v>30692.3450391488</v>
      </c>
      <c r="H27" s="821">
        <f t="shared" si="17"/>
        <v>28685.6239733189</v>
      </c>
      <c r="I27" s="821">
        <f t="shared" si="12"/>
        <v>1164281.18021678</v>
      </c>
      <c r="J27" s="833">
        <f t="shared" si="13"/>
        <v>0.78</v>
      </c>
      <c r="K27" s="839">
        <f t="shared" si="0"/>
        <v>908.139320569091</v>
      </c>
      <c r="L27" s="834">
        <f>+K27*365/'I. Parametros Grales'!$C$81</f>
        <v>1062.40657694782</v>
      </c>
      <c r="M27" s="312">
        <f t="shared" si="1"/>
        <v>331470.852007718</v>
      </c>
      <c r="N27" s="833">
        <f t="shared" si="14"/>
        <v>0.344541</v>
      </c>
      <c r="O27" s="839">
        <f t="shared" si="2"/>
        <v>401.142602113071</v>
      </c>
      <c r="P27" s="835">
        <f>+O27*365/'I. Parametros Grales'!$C$81</f>
        <v>469.28541593356</v>
      </c>
      <c r="Q27" s="312">
        <f t="shared" si="3"/>
        <v>146417.049771271</v>
      </c>
      <c r="R27" s="842">
        <f t="shared" si="4"/>
        <v>1.124541</v>
      </c>
      <c r="S27" s="843">
        <f t="shared" si="5"/>
        <v>1309.28192268216</v>
      </c>
      <c r="T27" s="839">
        <f t="shared" si="6"/>
        <v>1531.69199288138</v>
      </c>
      <c r="U27" s="312">
        <f t="shared" si="7"/>
        <v>477887.901778989</v>
      </c>
      <c r="V27" s="312">
        <f>+M27*1000/'I. Parametros Grales'!$C$145</f>
        <v>473529.788582455</v>
      </c>
      <c r="W27" s="312">
        <f>+Q27*1000/'I. Parametros Grales'!$C$145</f>
        <v>209167.213958958</v>
      </c>
      <c r="X27" s="312">
        <f>+U27*1000/'I. Parametros Grales'!$C$145</f>
        <v>682697.002541413</v>
      </c>
      <c r="Y27" s="312">
        <f>+X27*'I. Parametros Grales'!$C$149*'I. Parametros Grales'!$C$148</f>
        <v>861991.164825017</v>
      </c>
      <c r="Z27" s="449">
        <f t="shared" si="18"/>
        <v>170674.250635353</v>
      </c>
    </row>
    <row r="28" spans="2:26">
      <c r="B28" s="487">
        <v>15</v>
      </c>
      <c r="C28" s="487">
        <v>2039</v>
      </c>
      <c r="D28" s="820">
        <f>+'I.1 Proyecciones Población'!D37</f>
        <v>0.00607108177387317</v>
      </c>
      <c r="E28" s="825">
        <f t="shared" si="8"/>
        <v>1.18549855168401</v>
      </c>
      <c r="F28" s="821">
        <f t="shared" si="15"/>
        <v>1111611.16895175</v>
      </c>
      <c r="G28" s="821">
        <f t="shared" si="16"/>
        <v>30878.6807757134</v>
      </c>
      <c r="H28" s="821">
        <f t="shared" si="17"/>
        <v>28859.7767421955</v>
      </c>
      <c r="I28" s="821">
        <f t="shared" si="12"/>
        <v>1171349.62646966</v>
      </c>
      <c r="J28" s="833">
        <f t="shared" si="13"/>
        <v>0.78</v>
      </c>
      <c r="K28" s="839">
        <f t="shared" si="0"/>
        <v>913.652708646336</v>
      </c>
      <c r="L28" s="834">
        <f>+K28*365/'I. Parametros Grales'!$C$81</f>
        <v>1068.85653415357</v>
      </c>
      <c r="M28" s="312">
        <f t="shared" si="1"/>
        <v>333483.238655913</v>
      </c>
      <c r="N28" s="833">
        <f t="shared" si="14"/>
        <v>0.344541</v>
      </c>
      <c r="O28" s="839">
        <f t="shared" si="2"/>
        <v>403.577971653484</v>
      </c>
      <c r="P28" s="835">
        <f>+O28*365/'I. Parametros Grales'!$C$81</f>
        <v>472.134486068979</v>
      </c>
      <c r="Q28" s="312">
        <f t="shared" si="3"/>
        <v>147305.959653521</v>
      </c>
      <c r="R28" s="842">
        <f t="shared" si="4"/>
        <v>1.124541</v>
      </c>
      <c r="S28" s="843">
        <f t="shared" si="5"/>
        <v>1317.23068029982</v>
      </c>
      <c r="T28" s="839">
        <f t="shared" si="6"/>
        <v>1540.99102022255</v>
      </c>
      <c r="U28" s="312">
        <f t="shared" si="7"/>
        <v>480789.198309434</v>
      </c>
      <c r="V28" s="312">
        <f>+M28*1000/'I. Parametros Grales'!$C$145</f>
        <v>476404.626651304</v>
      </c>
      <c r="W28" s="312">
        <f>+Q28*1000/'I. Parametros Grales'!$C$145</f>
        <v>210437.085219316</v>
      </c>
      <c r="X28" s="312">
        <f>+U28*1000/'I. Parametros Grales'!$C$145</f>
        <v>686841.71187062</v>
      </c>
      <c r="Y28" s="312">
        <f>+X28*'I. Parametros Grales'!$C$149*'I. Parametros Grales'!$C$148</f>
        <v>867224.383675025</v>
      </c>
      <c r="Z28" s="449">
        <f t="shared" si="18"/>
        <v>171710.427967655</v>
      </c>
    </row>
    <row r="29" s="319" customFormat="1" spans="1:26">
      <c r="A29" s="819"/>
      <c r="B29" s="487">
        <v>16</v>
      </c>
      <c r="C29" s="487">
        <v>2040</v>
      </c>
      <c r="D29" s="820">
        <f>+'I.1 Proyecciones Población'!D38</f>
        <v>0.00562654809540502</v>
      </c>
      <c r="E29" s="825">
        <f t="shared" si="8"/>
        <v>1.19216881630209</v>
      </c>
      <c r="F29" s="821">
        <f t="shared" si="15"/>
        <v>1117865.70265725</v>
      </c>
      <c r="G29" s="821">
        <f t="shared" si="16"/>
        <v>31052.4211582206</v>
      </c>
      <c r="H29" s="821">
        <f t="shared" si="17"/>
        <v>29022.1576640582</v>
      </c>
      <c r="I29" s="821">
        <f t="shared" si="12"/>
        <v>1177940.28147953</v>
      </c>
      <c r="J29" s="833">
        <f t="shared" si="13"/>
        <v>0.78</v>
      </c>
      <c r="K29" s="839">
        <f t="shared" si="0"/>
        <v>918.793419554031</v>
      </c>
      <c r="L29" s="834">
        <f>+K29*365/'I. Parametros Grales'!$C$81</f>
        <v>1074.87050685007</v>
      </c>
      <c r="M29" s="312">
        <f t="shared" si="1"/>
        <v>335359.598137221</v>
      </c>
      <c r="N29" s="833">
        <f t="shared" si="14"/>
        <v>0.344541</v>
      </c>
      <c r="O29" s="839">
        <f t="shared" si="2"/>
        <v>405.848722521238</v>
      </c>
      <c r="P29" s="835">
        <f>+O29*365/'I. Parametros Grales'!$C$81</f>
        <v>474.790973462346</v>
      </c>
      <c r="Q29" s="312">
        <f t="shared" si="3"/>
        <v>148134.783720252</v>
      </c>
      <c r="R29" s="842">
        <f t="shared" si="4"/>
        <v>1.124541</v>
      </c>
      <c r="S29" s="843">
        <f t="shared" si="5"/>
        <v>1324.64214207527</v>
      </c>
      <c r="T29" s="839">
        <f t="shared" si="6"/>
        <v>1549.66148031241</v>
      </c>
      <c r="U29" s="312">
        <f t="shared" si="7"/>
        <v>483494.381857473</v>
      </c>
      <c r="V29" s="312">
        <f>+M29*1000/'I. Parametros Grales'!$C$145</f>
        <v>479085.140196031</v>
      </c>
      <c r="W29" s="312">
        <f>+Q29*1000/'I. Parametros Grales'!$C$145</f>
        <v>211621.11960036</v>
      </c>
      <c r="X29" s="312">
        <f>+U29*1000/'I. Parametros Grales'!$C$145</f>
        <v>690706.25979639</v>
      </c>
      <c r="Y29" s="312">
        <f>+X29*'I. Parametros Grales'!$C$149*'I. Parametros Grales'!$C$148</f>
        <v>872103.863379281</v>
      </c>
      <c r="Z29" s="449">
        <f t="shared" si="18"/>
        <v>172676.564949098</v>
      </c>
    </row>
    <row r="30" spans="2:26">
      <c r="B30" s="487">
        <v>17</v>
      </c>
      <c r="C30" s="487">
        <v>2041</v>
      </c>
      <c r="D30" s="820">
        <f>+'I.1 Proyecciones Población'!D39</f>
        <v>0.00510655981396932</v>
      </c>
      <c r="E30" s="825">
        <f t="shared" si="8"/>
        <v>1.19825669767089</v>
      </c>
      <c r="F30" s="821">
        <f t="shared" si="15"/>
        <v>1123574.15073185</v>
      </c>
      <c r="G30" s="821">
        <f t="shared" si="16"/>
        <v>31210.9922042336</v>
      </c>
      <c r="H30" s="821">
        <f t="shared" si="17"/>
        <v>29170.3610481001</v>
      </c>
      <c r="I30" s="821">
        <f t="shared" si="12"/>
        <v>1183955.50398419</v>
      </c>
      <c r="J30" s="833">
        <f t="shared" si="13"/>
        <v>0.78</v>
      </c>
      <c r="K30" s="839">
        <f t="shared" si="0"/>
        <v>923.485293107665</v>
      </c>
      <c r="L30" s="834">
        <f>+K30*365/'I. Parametros Grales'!$C$81</f>
        <v>1080.35939738557</v>
      </c>
      <c r="M30" s="312">
        <f t="shared" si="1"/>
        <v>337072.131984298</v>
      </c>
      <c r="N30" s="833">
        <f t="shared" si="14"/>
        <v>0.344541</v>
      </c>
      <c r="O30" s="839">
        <f t="shared" si="2"/>
        <v>407.921213298215</v>
      </c>
      <c r="P30" s="835">
        <f>+O30*365/'I. Parametros Grales'!$C$81</f>
        <v>477.215521967464</v>
      </c>
      <c r="Q30" s="312">
        <f t="shared" si="3"/>
        <v>148891.242853849</v>
      </c>
      <c r="R30" s="842">
        <f t="shared" si="4"/>
        <v>1.124541</v>
      </c>
      <c r="S30" s="843">
        <f t="shared" si="5"/>
        <v>1331.40650640588</v>
      </c>
      <c r="T30" s="839">
        <f t="shared" si="6"/>
        <v>1557.57491935303</v>
      </c>
      <c r="U30" s="312">
        <f t="shared" si="7"/>
        <v>485963.374838146</v>
      </c>
      <c r="V30" s="312">
        <f>+M30*1000/'I. Parametros Grales'!$C$145</f>
        <v>481531.617120425</v>
      </c>
      <c r="W30" s="312">
        <f>+Q30*1000/'I. Parametros Grales'!$C$145</f>
        <v>212701.775505498</v>
      </c>
      <c r="X30" s="312">
        <f>+U30*1000/'I. Parametros Grales'!$C$145</f>
        <v>694233.392625923</v>
      </c>
      <c r="Y30" s="312">
        <f>+X30*'I. Parametros Grales'!$C$149*'I. Parametros Grales'!$C$148</f>
        <v>876557.31392162</v>
      </c>
      <c r="Z30" s="449">
        <f t="shared" si="18"/>
        <v>173558.348156481</v>
      </c>
    </row>
    <row r="31" spans="2:26">
      <c r="B31" s="487">
        <v>18</v>
      </c>
      <c r="C31" s="487">
        <v>2042</v>
      </c>
      <c r="D31" s="820">
        <f>+'I.1 Proyecciones Población'!D40</f>
        <v>0.00456819937687579</v>
      </c>
      <c r="E31" s="825">
        <f t="shared" si="8"/>
        <v>1.20373057317053</v>
      </c>
      <c r="F31" s="821">
        <f t="shared" si="15"/>
        <v>1128706.8614671</v>
      </c>
      <c r="G31" s="821">
        <f t="shared" si="16"/>
        <v>31353.5702393727</v>
      </c>
      <c r="H31" s="821">
        <f t="shared" si="17"/>
        <v>29303.6170732633</v>
      </c>
      <c r="I31" s="821">
        <f t="shared" si="12"/>
        <v>1189364.04877974</v>
      </c>
      <c r="J31" s="833">
        <f t="shared" si="13"/>
        <v>0.78</v>
      </c>
      <c r="K31" s="839">
        <f t="shared" si="0"/>
        <v>927.703958048194</v>
      </c>
      <c r="L31" s="834">
        <f>+K31*365/'I. Parametros Grales'!$C$81</f>
        <v>1085.29469451151</v>
      </c>
      <c r="M31" s="312">
        <f t="shared" si="1"/>
        <v>338611.944687591</v>
      </c>
      <c r="N31" s="833">
        <f t="shared" si="14"/>
        <v>0.344541</v>
      </c>
      <c r="O31" s="839">
        <f t="shared" si="2"/>
        <v>409.784678730619</v>
      </c>
      <c r="P31" s="835">
        <f>+O31*365/'I. Parametros Grales'!$C$81</f>
        <v>479.395537617551</v>
      </c>
      <c r="Q31" s="312">
        <f t="shared" si="3"/>
        <v>149571.407736676</v>
      </c>
      <c r="R31" s="842">
        <f t="shared" si="4"/>
        <v>1.124541</v>
      </c>
      <c r="S31" s="843">
        <f t="shared" si="5"/>
        <v>1337.48863677881</v>
      </c>
      <c r="T31" s="839">
        <f t="shared" si="6"/>
        <v>1564.69023212906</v>
      </c>
      <c r="U31" s="312">
        <f t="shared" si="7"/>
        <v>488183.352424267</v>
      </c>
      <c r="V31" s="312">
        <f>+M31*1000/'I. Parametros Grales'!$C$145</f>
        <v>483731.349553701</v>
      </c>
      <c r="W31" s="312">
        <f>+Q31*1000/'I. Parametros Grales'!$C$145</f>
        <v>213673.439623823</v>
      </c>
      <c r="X31" s="312">
        <f>+U31*1000/'I. Parametros Grales'!$C$145</f>
        <v>697404.789177524</v>
      </c>
      <c r="Y31" s="312">
        <f>+X31*'I. Parametros Grales'!$C$149*'I. Parametros Grales'!$C$148</f>
        <v>880561.602496874</v>
      </c>
      <c r="Z31" s="449">
        <f t="shared" si="18"/>
        <v>174351.197294381</v>
      </c>
    </row>
    <row r="32" spans="2:26">
      <c r="B32" s="487">
        <v>19</v>
      </c>
      <c r="C32" s="487">
        <v>2043</v>
      </c>
      <c r="D32" s="820">
        <f>+'I.1 Proyecciones Población'!D41</f>
        <v>0.00403536974324295</v>
      </c>
      <c r="E32" s="825">
        <f t="shared" si="8"/>
        <v>1.20858807110451</v>
      </c>
      <c r="F32" s="821">
        <f t="shared" si="15"/>
        <v>1133261.61098485</v>
      </c>
      <c r="G32" s="821">
        <f t="shared" si="16"/>
        <v>31480.0934880593</v>
      </c>
      <c r="H32" s="821">
        <f t="shared" si="17"/>
        <v>29421.8680029683</v>
      </c>
      <c r="I32" s="821">
        <f t="shared" si="12"/>
        <v>1194163.57247588</v>
      </c>
      <c r="J32" s="833">
        <f t="shared" si="13"/>
        <v>0.78</v>
      </c>
      <c r="K32" s="839">
        <f t="shared" si="0"/>
        <v>931.447586531188</v>
      </c>
      <c r="L32" s="834">
        <f>+K32*365/'I. Parametros Grales'!$C$81</f>
        <v>1089.67425988424</v>
      </c>
      <c r="M32" s="312">
        <f t="shared" si="1"/>
        <v>339978.369083884</v>
      </c>
      <c r="N32" s="833">
        <f t="shared" si="14"/>
        <v>0.344541</v>
      </c>
      <c r="O32" s="839">
        <f t="shared" si="2"/>
        <v>411.438311424413</v>
      </c>
      <c r="P32" s="835">
        <f>+O32*365/'I. Parametros Grales'!$C$81</f>
        <v>481.330075865098</v>
      </c>
      <c r="Q32" s="312">
        <f t="shared" si="3"/>
        <v>150174.983669911</v>
      </c>
      <c r="R32" s="842">
        <f t="shared" si="4"/>
        <v>1.124541</v>
      </c>
      <c r="S32" s="843">
        <f t="shared" si="5"/>
        <v>1342.8858979556</v>
      </c>
      <c r="T32" s="839">
        <f t="shared" si="6"/>
        <v>1571.00433574934</v>
      </c>
      <c r="U32" s="312">
        <f t="shared" si="7"/>
        <v>490153.352753794</v>
      </c>
      <c r="V32" s="312">
        <f>+M32*1000/'I. Parametros Grales'!$C$145</f>
        <v>485683.384405548</v>
      </c>
      <c r="W32" s="312">
        <f>+Q32*1000/'I. Parametros Grales'!$C$145</f>
        <v>214535.690957015</v>
      </c>
      <c r="X32" s="312">
        <f>+U32*1000/'I. Parametros Grales'!$C$145</f>
        <v>700219.075362563</v>
      </c>
      <c r="Y32" s="312">
        <f>+X32*'I. Parametros Grales'!$C$149*'I. Parametros Grales'!$C$148</f>
        <v>884114.994144651</v>
      </c>
      <c r="Z32" s="449">
        <f t="shared" si="18"/>
        <v>175054.768840641</v>
      </c>
    </row>
    <row r="33" spans="2:26">
      <c r="B33" s="487">
        <v>20</v>
      </c>
      <c r="C33" s="487">
        <v>2044</v>
      </c>
      <c r="D33" s="820">
        <f>+'I.1 Proyecciones Población'!D42</f>
        <v>0.00355472351084493</v>
      </c>
      <c r="E33" s="820">
        <f t="shared" si="8"/>
        <v>1.2128842675358</v>
      </c>
      <c r="F33" s="821">
        <f t="shared" si="15"/>
        <v>1137290.04267736</v>
      </c>
      <c r="G33" s="821">
        <f t="shared" si="16"/>
        <v>31591.9965165049</v>
      </c>
      <c r="H33" s="821">
        <f t="shared" si="17"/>
        <v>29526.4546088914</v>
      </c>
      <c r="I33" s="821">
        <f t="shared" si="12"/>
        <v>1198408.49380276</v>
      </c>
      <c r="J33" s="833">
        <f t="shared" si="13"/>
        <v>0.78</v>
      </c>
      <c r="K33" s="839">
        <f t="shared" si="0"/>
        <v>934.75862516615</v>
      </c>
      <c r="L33" s="834">
        <f>+K33*365/'I. Parametros Grales'!$C$81</f>
        <v>1093.54775059502</v>
      </c>
      <c r="M33" s="312">
        <f t="shared" si="1"/>
        <v>341186.898185645</v>
      </c>
      <c r="N33" s="833">
        <f t="shared" si="14"/>
        <v>0.344541</v>
      </c>
      <c r="O33" s="839">
        <f t="shared" si="2"/>
        <v>412.900860863296</v>
      </c>
      <c r="P33" s="835">
        <f>+O33*365/'I. Parametros Grales'!$C$81</f>
        <v>483.041071202253</v>
      </c>
      <c r="Q33" s="312">
        <f t="shared" si="3"/>
        <v>150708.814215103</v>
      </c>
      <c r="R33" s="842">
        <f t="shared" si="4"/>
        <v>1.124541</v>
      </c>
      <c r="S33" s="843">
        <f t="shared" si="5"/>
        <v>1347.65948602945</v>
      </c>
      <c r="T33" s="839">
        <f t="shared" si="6"/>
        <v>1576.58882179727</v>
      </c>
      <c r="U33" s="312">
        <f t="shared" si="7"/>
        <v>491895.712400748</v>
      </c>
      <c r="V33" s="312">
        <f>+M33*1000/'I. Parametros Grales'!$C$145</f>
        <v>487409.854550921</v>
      </c>
      <c r="W33" s="312">
        <f>+Q33*1000/'I. Parametros Grales'!$C$145</f>
        <v>215298.306021575</v>
      </c>
      <c r="X33" s="312">
        <f>+U33*1000/'I. Parametros Grales'!$C$145</f>
        <v>702708.160572497</v>
      </c>
      <c r="Y33" s="312">
        <f>+X33*'I. Parametros Grales'!$C$149*'I. Parametros Grales'!$C$148</f>
        <v>887257.778500627</v>
      </c>
      <c r="Z33" s="449">
        <f t="shared" si="18"/>
        <v>175677.040143124</v>
      </c>
    </row>
    <row r="34" s="319" customFormat="1" spans="1:26">
      <c r="A34" s="819"/>
      <c r="B34" s="487">
        <v>21</v>
      </c>
      <c r="C34" s="487">
        <v>2045</v>
      </c>
      <c r="D34" s="820">
        <f>+'I.1 Proyecciones Población'!D43</f>
        <v>0.00311997905529381</v>
      </c>
      <c r="E34" s="825">
        <f t="shared" si="8"/>
        <v>1.216668441047</v>
      </c>
      <c r="F34" s="821">
        <f t="shared" si="15"/>
        <v>1140838.36379031</v>
      </c>
      <c r="G34" s="821">
        <f t="shared" si="16"/>
        <v>31690.5628839513</v>
      </c>
      <c r="H34" s="821">
        <f t="shared" si="17"/>
        <v>29618.5765288483</v>
      </c>
      <c r="I34" s="821">
        <f t="shared" si="12"/>
        <v>1202147.50320311</v>
      </c>
      <c r="J34" s="833">
        <f t="shared" si="13"/>
        <v>0.78</v>
      </c>
      <c r="K34" s="839">
        <f t="shared" si="0"/>
        <v>937.675052498424</v>
      </c>
      <c r="L34" s="834">
        <f>+K34*365/'I. Parametros Grales'!$C$81</f>
        <v>1096.95959667284</v>
      </c>
      <c r="M34" s="312">
        <f t="shared" si="1"/>
        <v>342251.394161925</v>
      </c>
      <c r="N34" s="833">
        <f t="shared" si="14"/>
        <v>0.344541</v>
      </c>
      <c r="O34" s="839">
        <f t="shared" si="2"/>
        <v>414.189102901102</v>
      </c>
      <c r="P34" s="835">
        <f>+O34*365/'I. Parametros Grales'!$C$81</f>
        <v>484.548149227251</v>
      </c>
      <c r="Q34" s="312">
        <f t="shared" si="3"/>
        <v>151179.022558902</v>
      </c>
      <c r="R34" s="842">
        <f t="shared" si="4"/>
        <v>1.124541</v>
      </c>
      <c r="S34" s="843">
        <f t="shared" si="5"/>
        <v>1351.86415539953</v>
      </c>
      <c r="T34" s="839">
        <f t="shared" si="6"/>
        <v>1581.50774590009</v>
      </c>
      <c r="U34" s="312">
        <f t="shared" si="7"/>
        <v>493430.416720827</v>
      </c>
      <c r="V34" s="312">
        <f>+M34*1000/'I. Parametros Grales'!$C$145</f>
        <v>488930.563088464</v>
      </c>
      <c r="W34" s="312">
        <f>+Q34*1000/'I. Parametros Grales'!$C$145</f>
        <v>215970.032227003</v>
      </c>
      <c r="X34" s="312">
        <f>+U34*1000/'I. Parametros Grales'!$C$145</f>
        <v>704900.595315467</v>
      </c>
      <c r="Y34" s="312">
        <f>+X34*'I. Parametros Grales'!$C$149*'I. Parametros Grales'!$C$148</f>
        <v>890026.004186196</v>
      </c>
      <c r="Z34" s="449">
        <f t="shared" si="18"/>
        <v>176225.148828867</v>
      </c>
    </row>
    <row r="35" spans="2:26">
      <c r="B35" s="487">
        <v>22</v>
      </c>
      <c r="C35" s="487">
        <v>2046</v>
      </c>
      <c r="D35" s="820">
        <f>+'I.1 Proyecciones Población'!D44</f>
        <v>0.00275051413756469</v>
      </c>
      <c r="E35" s="825">
        <f t="shared" si="8"/>
        <v>1.22001490479483</v>
      </c>
      <c r="F35" s="821">
        <f t="shared" si="15"/>
        <v>1143976.25583859</v>
      </c>
      <c r="G35" s="821">
        <f t="shared" si="16"/>
        <v>31777.728225191</v>
      </c>
      <c r="H35" s="821">
        <f t="shared" si="17"/>
        <v>29700.0428423254</v>
      </c>
      <c r="I35" s="821">
        <f t="shared" si="12"/>
        <v>1205454.02690611</v>
      </c>
      <c r="J35" s="833">
        <f t="shared" si="13"/>
        <v>0.78</v>
      </c>
      <c r="K35" s="839">
        <f t="shared" si="0"/>
        <v>940.254140986762</v>
      </c>
      <c r="L35" s="834">
        <f>+K35*365/'I. Parametros Grales'!$C$81</f>
        <v>1099.97679955182</v>
      </c>
      <c r="M35" s="312">
        <f t="shared" si="1"/>
        <v>343192.761460168</v>
      </c>
      <c r="N35" s="833">
        <f t="shared" si="14"/>
        <v>0.344541</v>
      </c>
      <c r="O35" s="839">
        <f t="shared" si="2"/>
        <v>415.328335884257</v>
      </c>
      <c r="P35" s="835">
        <f>+O35*365/'I. Parametros Grales'!$C$81</f>
        <v>485.880905762031</v>
      </c>
      <c r="Q35" s="312">
        <f t="shared" si="3"/>
        <v>151594.842597754</v>
      </c>
      <c r="R35" s="842">
        <f t="shared" si="4"/>
        <v>1.124541</v>
      </c>
      <c r="S35" s="843">
        <f t="shared" si="5"/>
        <v>1355.58247687102</v>
      </c>
      <c r="T35" s="839">
        <f t="shared" si="6"/>
        <v>1585.85770531385</v>
      </c>
      <c r="U35" s="312">
        <f t="shared" si="7"/>
        <v>494787.604057922</v>
      </c>
      <c r="V35" s="312">
        <f>+M35*1000/'I. Parametros Grales'!$C$145</f>
        <v>490275.373514526</v>
      </c>
      <c r="W35" s="312">
        <f>+Q35*1000/'I. Parametros Grales'!$C$145</f>
        <v>216564.060853934</v>
      </c>
      <c r="X35" s="312">
        <f>+U35*1000/'I. Parametros Grales'!$C$145</f>
        <v>706839.43436846</v>
      </c>
      <c r="Y35" s="312">
        <f>+X35*'I. Parametros Grales'!$C$149*'I. Parametros Grales'!$C$148</f>
        <v>892474.03329351</v>
      </c>
      <c r="Z35" s="449">
        <f t="shared" si="18"/>
        <v>176709.858592115</v>
      </c>
    </row>
    <row r="36" spans="2:26">
      <c r="B36" s="487">
        <v>23</v>
      </c>
      <c r="C36" s="487">
        <v>2047</v>
      </c>
      <c r="D36" s="820">
        <f>+'I.1 Proyecciones Población'!D45</f>
        <v>0.00244402713464116</v>
      </c>
      <c r="E36" s="825">
        <f t="shared" si="8"/>
        <v>1.22299665432682</v>
      </c>
      <c r="F36" s="821">
        <f t="shared" si="15"/>
        <v>1146772.16484924</v>
      </c>
      <c r="G36" s="821">
        <f t="shared" si="16"/>
        <v>31855.3938552506</v>
      </c>
      <c r="H36" s="821">
        <f t="shared" si="17"/>
        <v>29772.630552932</v>
      </c>
      <c r="I36" s="821">
        <f t="shared" si="12"/>
        <v>1208400.18925743</v>
      </c>
      <c r="J36" s="833">
        <f t="shared" si="13"/>
        <v>0.78</v>
      </c>
      <c r="K36" s="839">
        <f t="shared" si="0"/>
        <v>942.552147620793</v>
      </c>
      <c r="L36" s="834">
        <f>+K36*365/'I. Parametros Grales'!$C$81</f>
        <v>1102.6651726974</v>
      </c>
      <c r="M36" s="312">
        <f t="shared" si="1"/>
        <v>344031.533881589</v>
      </c>
      <c r="N36" s="833">
        <f t="shared" si="14"/>
        <v>0.344541</v>
      </c>
      <c r="O36" s="839">
        <f t="shared" si="2"/>
        <v>416.343409606943</v>
      </c>
      <c r="P36" s="835">
        <f>+O36*365/'I. Parametros Grales'!$C$81</f>
        <v>487.068411879917</v>
      </c>
      <c r="Q36" s="312">
        <f t="shared" si="3"/>
        <v>151965.344506534</v>
      </c>
      <c r="R36" s="842">
        <f t="shared" si="4"/>
        <v>1.124541</v>
      </c>
      <c r="S36" s="843">
        <f t="shared" si="5"/>
        <v>1358.89555722774</v>
      </c>
      <c r="T36" s="839">
        <f t="shared" si="6"/>
        <v>1589.73358457732</v>
      </c>
      <c r="U36" s="312">
        <f t="shared" si="7"/>
        <v>495996.878388124</v>
      </c>
      <c r="V36" s="312">
        <f>+M36*1000/'I. Parametros Grales'!$C$145</f>
        <v>491473.619830842</v>
      </c>
      <c r="W36" s="312">
        <f>+Q36*1000/'I. Parametros Grales'!$C$145</f>
        <v>217093.349295049</v>
      </c>
      <c r="X36" s="312">
        <f>+U36*1000/'I. Parametros Grales'!$C$145</f>
        <v>708566.969125891</v>
      </c>
      <c r="Y36" s="312">
        <f>+X36*'I. Parametros Grales'!$C$149*'I. Parametros Grales'!$C$148</f>
        <v>894655.264047842</v>
      </c>
      <c r="Z36" s="449">
        <f t="shared" si="18"/>
        <v>177141.742281473</v>
      </c>
    </row>
    <row r="37" spans="2:26">
      <c r="B37" s="487">
        <v>24</v>
      </c>
      <c r="C37" s="487">
        <v>2048</v>
      </c>
      <c r="D37" s="820">
        <f>+'I.1 Proyecciones Población'!D46</f>
        <v>0.00219393837795512</v>
      </c>
      <c r="E37" s="825">
        <f t="shared" si="8"/>
        <v>1.22567983362286</v>
      </c>
      <c r="F37" s="821">
        <f t="shared" si="15"/>
        <v>1149288.11231248</v>
      </c>
      <c r="G37" s="821">
        <f t="shared" si="16"/>
        <v>31925.2826263745</v>
      </c>
      <c r="H37" s="821">
        <f t="shared" si="17"/>
        <v>29837.9498697148</v>
      </c>
      <c r="I37" s="821">
        <f t="shared" si="12"/>
        <v>1211051.34480857</v>
      </c>
      <c r="J37" s="833">
        <f t="shared" si="13"/>
        <v>0.78</v>
      </c>
      <c r="K37" s="839">
        <f t="shared" si="0"/>
        <v>944.620048950682</v>
      </c>
      <c r="L37" s="834">
        <f>+K37*365/'I. Parametros Grales'!$C$81</f>
        <v>1105.08435213782</v>
      </c>
      <c r="M37" s="312">
        <f t="shared" si="1"/>
        <v>344786.317866999</v>
      </c>
      <c r="N37" s="833">
        <f t="shared" si="14"/>
        <v>0.344541</v>
      </c>
      <c r="O37" s="839">
        <f t="shared" si="2"/>
        <v>417.256841391689</v>
      </c>
      <c r="P37" s="835">
        <f>+O37*365/'I. Parametros Grales'!$C$81</f>
        <v>488.13700996143</v>
      </c>
      <c r="Q37" s="312">
        <f t="shared" si="3"/>
        <v>152298.747107966</v>
      </c>
      <c r="R37" s="842">
        <f t="shared" si="4"/>
        <v>1.124541</v>
      </c>
      <c r="S37" s="843">
        <f t="shared" si="5"/>
        <v>1361.87689034237</v>
      </c>
      <c r="T37" s="839">
        <f t="shared" si="6"/>
        <v>1593.22136209925</v>
      </c>
      <c r="U37" s="312">
        <f t="shared" si="7"/>
        <v>497085.064974965</v>
      </c>
      <c r="V37" s="312">
        <f>+M37*1000/'I. Parametros Grales'!$C$145</f>
        <v>492551.882667142</v>
      </c>
      <c r="W37" s="312">
        <f>+Q37*1000/'I. Parametros Grales'!$C$145</f>
        <v>217569.638725666</v>
      </c>
      <c r="X37" s="312">
        <f>+U37*1000/'I. Parametros Grales'!$C$145</f>
        <v>710121.521392808</v>
      </c>
      <c r="Y37" s="312">
        <f>+X37*'I. Parametros Grales'!$C$149*'I. Parametros Grales'!$C$148</f>
        <v>896618.082566676</v>
      </c>
      <c r="Z37" s="449">
        <f t="shared" si="18"/>
        <v>177530.380348202</v>
      </c>
    </row>
    <row r="38" spans="2:26">
      <c r="B38" s="487">
        <v>25</v>
      </c>
      <c r="C38" s="487">
        <v>2049</v>
      </c>
      <c r="D38" s="820">
        <f>+'I.1 Proyecciones Población'!D47</f>
        <v>0.00198338002786837</v>
      </c>
      <c r="E38" s="825">
        <f t="shared" si="8"/>
        <v>1.22811082252542</v>
      </c>
      <c r="F38" s="821">
        <f t="shared" si="15"/>
        <v>1151567.5874007</v>
      </c>
      <c r="G38" s="821">
        <f t="shared" si="16"/>
        <v>31988.6025943197</v>
      </c>
      <c r="H38" s="821">
        <f t="shared" si="17"/>
        <v>29897.1298635589</v>
      </c>
      <c r="I38" s="821">
        <f t="shared" si="12"/>
        <v>1213453.31985858</v>
      </c>
      <c r="J38" s="833">
        <f t="shared" si="13"/>
        <v>0.78</v>
      </c>
      <c r="K38" s="839">
        <f t="shared" si="0"/>
        <v>946.493589489695</v>
      </c>
      <c r="L38" s="834">
        <f>+K38*365/'I. Parametros Grales'!$C$81</f>
        <v>1107.27615437096</v>
      </c>
      <c r="M38" s="312">
        <f t="shared" si="1"/>
        <v>345470.160163739</v>
      </c>
      <c r="N38" s="833">
        <f t="shared" si="14"/>
        <v>0.344541</v>
      </c>
      <c r="O38" s="839">
        <f t="shared" si="2"/>
        <v>418.084420277396</v>
      </c>
      <c r="P38" s="835">
        <f>+O38*365/'I. Parametros Grales'!$C$81</f>
        <v>489.105171157851</v>
      </c>
      <c r="Q38" s="312">
        <f t="shared" si="3"/>
        <v>152600.81340125</v>
      </c>
      <c r="R38" s="842">
        <f t="shared" si="4"/>
        <v>1.124541</v>
      </c>
      <c r="S38" s="843">
        <f t="shared" si="5"/>
        <v>1364.57800976709</v>
      </c>
      <c r="T38" s="839">
        <f t="shared" si="6"/>
        <v>1596.38132552881</v>
      </c>
      <c r="U38" s="312">
        <f t="shared" si="7"/>
        <v>498070.973564988</v>
      </c>
      <c r="V38" s="312">
        <f>+M38*1000/'I. Parametros Grales'!$C$145</f>
        <v>493528.800233912</v>
      </c>
      <c r="W38" s="312">
        <f>+Q38*1000/'I. Parametros Grales'!$C$145</f>
        <v>218001.162001785</v>
      </c>
      <c r="X38" s="312">
        <f>+U38*1000/'I. Parametros Grales'!$C$145</f>
        <v>711529.962235698</v>
      </c>
      <c r="Y38" s="312">
        <f>+X38*'I. Parametros Grales'!$C$149*'I. Parametros Grales'!$C$148</f>
        <v>898396.416964265</v>
      </c>
      <c r="Z38" s="449">
        <f t="shared" si="18"/>
        <v>177882.490558924</v>
      </c>
    </row>
    <row r="39" s="319" customFormat="1" spans="1:26">
      <c r="A39" s="819"/>
      <c r="B39" s="487">
        <v>26</v>
      </c>
      <c r="C39" s="487">
        <v>2050</v>
      </c>
      <c r="D39" s="820">
        <f>+'I.1 Proyecciones Población'!D48</f>
        <v>0.00179770902605283</v>
      </c>
      <c r="E39" s="825">
        <f t="shared" si="8"/>
        <v>1.23031860843607</v>
      </c>
      <c r="F39" s="821">
        <f t="shared" si="15"/>
        <v>1153637.77084668</v>
      </c>
      <c r="G39" s="821">
        <f t="shared" si="16"/>
        <v>32046.1087939343</v>
      </c>
      <c r="H39" s="821">
        <f t="shared" si="17"/>
        <v>29950.8762037677</v>
      </c>
      <c r="I39" s="821">
        <f t="shared" si="12"/>
        <v>1215634.75584439</v>
      </c>
      <c r="J39" s="833">
        <f t="shared" si="13"/>
        <v>0.78</v>
      </c>
      <c r="K39" s="839">
        <f t="shared" si="0"/>
        <v>948.195109558622</v>
      </c>
      <c r="L39" s="834">
        <f>+K39*365/'I. Parametros Grales'!$C$81</f>
        <v>1109.266714708</v>
      </c>
      <c r="M39" s="312">
        <f t="shared" si="1"/>
        <v>346091.214988897</v>
      </c>
      <c r="N39" s="833">
        <f t="shared" si="14"/>
        <v>0.344541</v>
      </c>
      <c r="O39" s="839">
        <f t="shared" si="2"/>
        <v>418.836014413381</v>
      </c>
      <c r="P39" s="835">
        <f>+O39*365/'I. Parametros Grales'!$C$81</f>
        <v>489.984439938731</v>
      </c>
      <c r="Q39" s="312">
        <f t="shared" si="3"/>
        <v>152875.145260884</v>
      </c>
      <c r="R39" s="842">
        <f t="shared" si="4"/>
        <v>1.124541</v>
      </c>
      <c r="S39" s="843">
        <f t="shared" si="5"/>
        <v>1367.031123972</v>
      </c>
      <c r="T39" s="839">
        <f t="shared" si="6"/>
        <v>1599.25115464673</v>
      </c>
      <c r="U39" s="312">
        <f t="shared" si="7"/>
        <v>498966.360249781</v>
      </c>
      <c r="V39" s="312">
        <f>+M39*1000/'I. Parametros Grales'!$C$145</f>
        <v>494416.02141271</v>
      </c>
      <c r="W39" s="312">
        <f>+Q39*1000/'I. Parametros Grales'!$C$145</f>
        <v>218393.064658406</v>
      </c>
      <c r="X39" s="312">
        <f>+U39*1000/'I. Parametros Grales'!$C$145</f>
        <v>712809.086071116</v>
      </c>
      <c r="Y39" s="312">
        <f>+X39*'I. Parametros Grales'!$C$149*'I. Parametros Grales'!$C$148</f>
        <v>900011.472312015</v>
      </c>
      <c r="Z39" s="449">
        <f t="shared" si="18"/>
        <v>178202.271517779</v>
      </c>
    </row>
    <row r="40" spans="2:26">
      <c r="B40" s="487">
        <v>27</v>
      </c>
      <c r="C40" s="487">
        <v>2051</v>
      </c>
      <c r="D40" s="820">
        <f>+'I.1 Proyecciones Población'!D49</f>
        <v>0.00161092231460471</v>
      </c>
      <c r="E40" s="825">
        <f t="shared" si="8"/>
        <v>1.23230055613647</v>
      </c>
      <c r="F40" s="821">
        <f t="shared" si="15"/>
        <v>1155496.19167471</v>
      </c>
      <c r="G40" s="821">
        <f t="shared" si="16"/>
        <v>32097.7325856868</v>
      </c>
      <c r="H40" s="821">
        <f t="shared" si="17"/>
        <v>29999.1247385863</v>
      </c>
      <c r="I40" s="821">
        <f t="shared" si="12"/>
        <v>1217593.04899899</v>
      </c>
      <c r="J40" s="833">
        <f t="shared" si="13"/>
        <v>0.78</v>
      </c>
      <c r="K40" s="839">
        <f t="shared" si="0"/>
        <v>949.722578219209</v>
      </c>
      <c r="L40" s="834">
        <f>+K40*365/'I. Parametros Grales'!$C$81</f>
        <v>1111.05365721157</v>
      </c>
      <c r="M40" s="312">
        <f t="shared" si="1"/>
        <v>346648.741050011</v>
      </c>
      <c r="N40" s="833">
        <f t="shared" si="14"/>
        <v>0.344541</v>
      </c>
      <c r="O40" s="839">
        <f t="shared" si="2"/>
        <v>419.51072669516</v>
      </c>
      <c r="P40" s="835">
        <f>+O40*365/'I. Parametros Grales'!$C$81</f>
        <v>490.773766806837</v>
      </c>
      <c r="Q40" s="312">
        <f t="shared" si="3"/>
        <v>153121.415243733</v>
      </c>
      <c r="R40" s="842">
        <f t="shared" si="4"/>
        <v>1.124541</v>
      </c>
      <c r="S40" s="843">
        <f t="shared" si="5"/>
        <v>1369.23330491437</v>
      </c>
      <c r="T40" s="839">
        <f t="shared" si="6"/>
        <v>1601.82742401841</v>
      </c>
      <c r="U40" s="312">
        <f t="shared" si="7"/>
        <v>499770.156293744</v>
      </c>
      <c r="V40" s="312">
        <f>+M40*1000/'I. Parametros Grales'!$C$145</f>
        <v>495212.487214302</v>
      </c>
      <c r="W40" s="312">
        <f>+Q40*1000/'I. Parametros Grales'!$C$145</f>
        <v>218744.878919619</v>
      </c>
      <c r="X40" s="312">
        <f>+U40*1000/'I. Parametros Grales'!$C$145</f>
        <v>713957.366133921</v>
      </c>
      <c r="Y40" s="312">
        <f>+X40*'I. Parametros Grales'!$C$149*'I. Parametros Grales'!$C$148</f>
        <v>901461.320876162</v>
      </c>
      <c r="Z40" s="449">
        <f t="shared" si="18"/>
        <v>178489.34153348</v>
      </c>
    </row>
    <row r="41" spans="2:26">
      <c r="B41" s="487">
        <v>28</v>
      </c>
      <c r="C41" s="487">
        <v>2052</v>
      </c>
      <c r="D41" s="820">
        <f>+'I.1 Proyecciones Población'!D50</f>
        <v>0.001408813639061</v>
      </c>
      <c r="E41" s="825">
        <f t="shared" si="8"/>
        <v>1.23403663796738</v>
      </c>
      <c r="F41" s="821">
        <f t="shared" si="15"/>
        <v>1157124.07046943</v>
      </c>
      <c r="G41" s="821">
        <f t="shared" si="16"/>
        <v>32142.9523091364</v>
      </c>
      <c r="H41" s="821">
        <f t="shared" si="17"/>
        <v>30041.387914678</v>
      </c>
      <c r="I41" s="821">
        <f t="shared" si="12"/>
        <v>1219308.41069324</v>
      </c>
      <c r="J41" s="833">
        <f t="shared" si="13"/>
        <v>0.78</v>
      </c>
      <c r="K41" s="839">
        <f t="shared" si="0"/>
        <v>951.060560340728</v>
      </c>
      <c r="L41" s="834">
        <f>+K41*365/'I. Parametros Grales'!$C$81</f>
        <v>1112.61892475758</v>
      </c>
      <c r="M41" s="312">
        <f t="shared" si="1"/>
        <v>347137.104524366</v>
      </c>
      <c r="N41" s="833">
        <f t="shared" si="14"/>
        <v>0.344541</v>
      </c>
      <c r="O41" s="839">
        <f t="shared" si="2"/>
        <v>420.10173912866</v>
      </c>
      <c r="P41" s="835">
        <f>+O41*365/'I. Parametros Grales'!$C$81</f>
        <v>491.465175583208</v>
      </c>
      <c r="Q41" s="312">
        <f t="shared" si="3"/>
        <v>153337.134781961</v>
      </c>
      <c r="R41" s="842">
        <f t="shared" si="4"/>
        <v>1.124541</v>
      </c>
      <c r="S41" s="843">
        <f t="shared" si="5"/>
        <v>1371.16229946939</v>
      </c>
      <c r="T41" s="839">
        <f t="shared" si="6"/>
        <v>1604.08410034079</v>
      </c>
      <c r="U41" s="312">
        <f t="shared" si="7"/>
        <v>500474.239306327</v>
      </c>
      <c r="V41" s="312">
        <f>+M41*1000/'I. Parametros Grales'!$C$145</f>
        <v>495910.149320523</v>
      </c>
      <c r="W41" s="312">
        <f>+Q41*1000/'I. Parametros Grales'!$C$145</f>
        <v>219053.049688516</v>
      </c>
      <c r="X41" s="312">
        <f>+U41*1000/'I. Parametros Grales'!$C$145</f>
        <v>714963.199009038</v>
      </c>
      <c r="Y41" s="312">
        <f>+X41*'I. Parametros Grales'!$C$149*'I. Parametros Grales'!$C$148</f>
        <v>902731.311880099</v>
      </c>
      <c r="Z41" s="449">
        <f t="shared" si="18"/>
        <v>178740.79975226</v>
      </c>
    </row>
    <row r="42" spans="2:26">
      <c r="B42" s="487">
        <v>29</v>
      </c>
      <c r="C42" s="487">
        <v>2053</v>
      </c>
      <c r="D42" s="820">
        <f>+'I.1 Proyecciones Población'!D51</f>
        <v>0.00116232313437314</v>
      </c>
      <c r="E42" s="825">
        <f t="shared" si="8"/>
        <v>1.23547098730036</v>
      </c>
      <c r="F42" s="821">
        <f t="shared" si="15"/>
        <v>1158469.02254587</v>
      </c>
      <c r="G42" s="821">
        <f t="shared" si="16"/>
        <v>32180.3128062124</v>
      </c>
      <c r="H42" s="821">
        <f t="shared" si="17"/>
        <v>30076.3057148399</v>
      </c>
      <c r="I42" s="821">
        <f t="shared" si="12"/>
        <v>1220725.64106693</v>
      </c>
      <c r="J42" s="833">
        <f t="shared" si="13"/>
        <v>0.78</v>
      </c>
      <c r="K42" s="839">
        <f t="shared" si="0"/>
        <v>952.166000032202</v>
      </c>
      <c r="L42" s="834">
        <f>+K42*365/'I. Parametros Grales'!$C$81</f>
        <v>1113.91214747357</v>
      </c>
      <c r="M42" s="312">
        <f t="shared" si="1"/>
        <v>347540.590011754</v>
      </c>
      <c r="N42" s="833">
        <f t="shared" si="14"/>
        <v>0.344541</v>
      </c>
      <c r="O42" s="839">
        <f t="shared" si="2"/>
        <v>420.59003309884</v>
      </c>
      <c r="P42" s="835">
        <f>+O42*365/'I. Parametros Grales'!$C$81</f>
        <v>492.036416926527</v>
      </c>
      <c r="Q42" s="312">
        <f t="shared" si="3"/>
        <v>153515.362081077</v>
      </c>
      <c r="R42" s="842">
        <f t="shared" si="4"/>
        <v>1.124541</v>
      </c>
      <c r="S42" s="843">
        <f t="shared" si="5"/>
        <v>1372.75603313104</v>
      </c>
      <c r="T42" s="839">
        <f t="shared" si="6"/>
        <v>1605.9485644001</v>
      </c>
      <c r="U42" s="312">
        <f t="shared" si="7"/>
        <v>501055.95209283</v>
      </c>
      <c r="V42" s="312">
        <f>+M42*1000/'I. Parametros Grales'!$C$145</f>
        <v>496486.557159648</v>
      </c>
      <c r="W42" s="312">
        <f>+Q42*1000/'I. Parametros Grales'!$C$145</f>
        <v>219307.660115824</v>
      </c>
      <c r="X42" s="312">
        <f>+U42*1000/'I. Parametros Grales'!$C$145</f>
        <v>715794.217275472</v>
      </c>
      <c r="Y42" s="312">
        <f>+X42*'I. Parametros Grales'!$C$149*'I. Parametros Grales'!$C$148</f>
        <v>903780.57736802</v>
      </c>
      <c r="Z42" s="449">
        <f t="shared" si="18"/>
        <v>178948.554318868</v>
      </c>
    </row>
    <row r="43" spans="2:26">
      <c r="B43" s="487">
        <v>30</v>
      </c>
      <c r="C43" s="487">
        <v>2054</v>
      </c>
      <c r="D43" s="820">
        <f>+'I.1 Proyecciones Población'!D52</f>
        <v>0.000858092453862866</v>
      </c>
      <c r="E43" s="825">
        <f t="shared" si="8"/>
        <v>1.23653113563152</v>
      </c>
      <c r="F43" s="821">
        <f t="shared" si="15"/>
        <v>1159463.09607215</v>
      </c>
      <c r="G43" s="821">
        <f t="shared" si="16"/>
        <v>32207.9264897943</v>
      </c>
      <c r="H43" s="821">
        <f t="shared" si="17"/>
        <v>30102.1139658138</v>
      </c>
      <c r="I43" s="821">
        <f t="shared" si="12"/>
        <v>1221773.13652776</v>
      </c>
      <c r="J43" s="833">
        <f t="shared" si="13"/>
        <v>0.78</v>
      </c>
      <c r="K43" s="839">
        <f t="shared" si="0"/>
        <v>952.983046491655</v>
      </c>
      <c r="L43" s="834">
        <f>+K43*365/'I. Parametros Grales'!$C$81</f>
        <v>1114.86798708158</v>
      </c>
      <c r="M43" s="312">
        <f t="shared" si="1"/>
        <v>347838.811969454</v>
      </c>
      <c r="N43" s="833">
        <f t="shared" si="14"/>
        <v>0.344541</v>
      </c>
      <c r="O43" s="839">
        <f t="shared" si="2"/>
        <v>420.950938232412</v>
      </c>
      <c r="P43" s="835">
        <f>+O43*365/'I. Parametros Grales'!$C$81</f>
        <v>492.458629662918</v>
      </c>
      <c r="Q43" s="312">
        <f t="shared" si="3"/>
        <v>153647.09245483</v>
      </c>
      <c r="R43" s="842">
        <f t="shared" si="4"/>
        <v>1.124541</v>
      </c>
      <c r="S43" s="843">
        <f t="shared" si="5"/>
        <v>1373.93398472407</v>
      </c>
      <c r="T43" s="839">
        <f t="shared" si="6"/>
        <v>1607.3266167445</v>
      </c>
      <c r="U43" s="312">
        <f t="shared" si="7"/>
        <v>501485.904424284</v>
      </c>
      <c r="V43" s="312">
        <f>+M43*1000/'I. Parametros Grales'!$C$145</f>
        <v>496912.588527791</v>
      </c>
      <c r="W43" s="312">
        <f>+Q43*1000/'I. Parametros Grales'!$C$145</f>
        <v>219495.846364043</v>
      </c>
      <c r="X43" s="312">
        <f>+U43*1000/'I. Parametros Grales'!$C$145</f>
        <v>716408.434891835</v>
      </c>
      <c r="Y43" s="312">
        <f>+X43*'I. Parametros Grales'!$C$149*'I. Parametros Grales'!$C$148</f>
        <v>904556.104661408</v>
      </c>
      <c r="Z43" s="449">
        <f t="shared" si="18"/>
        <v>179102.108722959</v>
      </c>
    </row>
    <row r="44" s="319" customFormat="1" spans="1:26">
      <c r="A44" s="819"/>
      <c r="B44" s="487">
        <v>31</v>
      </c>
      <c r="C44" s="487">
        <v>2055</v>
      </c>
      <c r="D44" s="820">
        <f>+'I.1 Proyecciones Población'!D53</f>
        <v>0.000501669853072962</v>
      </c>
      <c r="E44" s="825">
        <f t="shared" si="8"/>
        <v>1.23715146602466</v>
      </c>
      <c r="F44" s="821">
        <f t="shared" ref="F44:F52" si="19">+$F$9*E44</f>
        <v>1160044.7637532</v>
      </c>
      <c r="G44" s="821">
        <f t="shared" ref="G44:G52" si="20">+$G$9*E44</f>
        <v>32224.0842355442</v>
      </c>
      <c r="H44" s="821">
        <f t="shared" ref="H44:H52" si="21">+$H$9*E44</f>
        <v>30117.2152889042</v>
      </c>
      <c r="I44" s="821">
        <f t="shared" si="12"/>
        <v>1222386.06327765</v>
      </c>
      <c r="J44" s="833">
        <f t="shared" si="13"/>
        <v>0.78</v>
      </c>
      <c r="K44" s="839">
        <f t="shared" si="0"/>
        <v>953.461129356569</v>
      </c>
      <c r="L44" s="834">
        <f>+K44*365/'I. Parametros Grales'!$C$81</f>
        <v>1115.42728274086</v>
      </c>
      <c r="M44" s="312">
        <f t="shared" si="1"/>
        <v>348013.312215148</v>
      </c>
      <c r="N44" s="833">
        <f t="shared" si="14"/>
        <v>0.344541</v>
      </c>
      <c r="O44" s="839">
        <f t="shared" si="2"/>
        <v>421.162116627746</v>
      </c>
      <c r="P44" s="835">
        <f>+O44*365/'I. Parametros Grales'!$C$81</f>
        <v>492.705681311305</v>
      </c>
      <c r="Q44" s="312">
        <f t="shared" si="3"/>
        <v>153724.172569127</v>
      </c>
      <c r="R44" s="842">
        <f t="shared" si="4"/>
        <v>1.124541</v>
      </c>
      <c r="S44" s="843">
        <f t="shared" si="5"/>
        <v>1374.62324598431</v>
      </c>
      <c r="T44" s="839">
        <f t="shared" si="6"/>
        <v>1608.13296405216</v>
      </c>
      <c r="U44" s="312">
        <f t="shared" si="7"/>
        <v>501737.484784275</v>
      </c>
      <c r="V44" s="312">
        <f>+M44*1000/'I. Parametros Grales'!$C$145</f>
        <v>497161.874593068</v>
      </c>
      <c r="W44" s="312">
        <f>+Q44*1000/'I. Parametros Grales'!$C$145</f>
        <v>219605.960813039</v>
      </c>
      <c r="X44" s="312">
        <f>+U44*1000/'I. Parametros Grales'!$C$145</f>
        <v>716767.835406107</v>
      </c>
      <c r="Y44" s="312">
        <f>+X44*'I. Parametros Grales'!$C$149*'I. Parametros Grales'!$C$148</f>
        <v>905009.893189529</v>
      </c>
      <c r="Z44" s="449">
        <f t="shared" si="18"/>
        <v>179191.958851527</v>
      </c>
    </row>
    <row r="45" spans="2:26">
      <c r="B45" s="487">
        <v>32</v>
      </c>
      <c r="C45" s="487">
        <v>2056</v>
      </c>
      <c r="D45" s="820">
        <f>+'I.1 Proyecciones Población'!D54</f>
        <v>0.000115236747614269</v>
      </c>
      <c r="E45" s="825">
        <f t="shared" si="8"/>
        <v>1.23729403133591</v>
      </c>
      <c r="F45" s="821">
        <f t="shared" si="19"/>
        <v>1160178.44353887</v>
      </c>
      <c r="G45" s="821">
        <f t="shared" si="20"/>
        <v>32227.7976342064</v>
      </c>
      <c r="H45" s="821">
        <f t="shared" si="21"/>
        <v>30120.6858988413</v>
      </c>
      <c r="I45" s="821">
        <f t="shared" si="12"/>
        <v>1222526.92707191</v>
      </c>
      <c r="J45" s="833">
        <f t="shared" si="13"/>
        <v>0.78</v>
      </c>
      <c r="K45" s="839">
        <f t="shared" si="0"/>
        <v>953.571003116093</v>
      </c>
      <c r="L45" s="834">
        <f>+K45*365/'I. Parametros Grales'!$C$81</f>
        <v>1115.55582095312</v>
      </c>
      <c r="M45" s="312">
        <f t="shared" si="1"/>
        <v>348053.416137374</v>
      </c>
      <c r="N45" s="833">
        <f t="shared" si="14"/>
        <v>0.344541</v>
      </c>
      <c r="O45" s="839">
        <f t="shared" si="2"/>
        <v>421.210649980284</v>
      </c>
      <c r="P45" s="835">
        <f>+O45*365/'I. Parametros Grales'!$C$81</f>
        <v>492.762459111551</v>
      </c>
      <c r="Q45" s="312">
        <f t="shared" si="3"/>
        <v>153741.887242804</v>
      </c>
      <c r="R45" s="842">
        <f t="shared" si="4"/>
        <v>1.124541</v>
      </c>
      <c r="S45" s="843">
        <f t="shared" si="5"/>
        <v>1374.78165309638</v>
      </c>
      <c r="T45" s="839">
        <f t="shared" si="6"/>
        <v>1608.31828006467</v>
      </c>
      <c r="U45" s="312">
        <f t="shared" si="7"/>
        <v>501795.303380178</v>
      </c>
      <c r="V45" s="312">
        <f>+M45*1000/'I. Parametros Grales'!$C$145</f>
        <v>497219.165910534</v>
      </c>
      <c r="W45" s="312">
        <f>+Q45*1000/'I. Parametros Grales'!$C$145</f>
        <v>219631.26748972</v>
      </c>
      <c r="X45" s="312">
        <f>+U45*1000/'I. Parametros Grales'!$C$145</f>
        <v>716850.433400254</v>
      </c>
      <c r="Y45" s="312">
        <f>+X45*'I. Parametros Grales'!$C$149*'I. Parametros Grales'!$C$148</f>
        <v>905114.183586179</v>
      </c>
      <c r="Z45" s="449">
        <f t="shared" si="18"/>
        <v>179212.608350063</v>
      </c>
    </row>
    <row r="46" spans="2:26">
      <c r="B46" s="487">
        <v>33</v>
      </c>
      <c r="C46" s="487">
        <v>2057</v>
      </c>
      <c r="D46" s="820">
        <f>+'I.1 Proyecciones Población'!D55</f>
        <v>-0.000287952182899048</v>
      </c>
      <c r="E46" s="825">
        <f t="shared" si="8"/>
        <v>1.2369377498187</v>
      </c>
      <c r="F46" s="821">
        <f t="shared" si="19"/>
        <v>1159844.3676235</v>
      </c>
      <c r="G46" s="821">
        <f t="shared" si="20"/>
        <v>32218.5175695276</v>
      </c>
      <c r="H46" s="821">
        <f t="shared" si="21"/>
        <v>30112.0125815864</v>
      </c>
      <c r="I46" s="821">
        <f t="shared" si="12"/>
        <v>1222174.89777461</v>
      </c>
      <c r="J46" s="833">
        <f t="shared" si="13"/>
        <v>0.78</v>
      </c>
      <c r="K46" s="839">
        <f t="shared" si="0"/>
        <v>953.296420264196</v>
      </c>
      <c r="L46" s="834">
        <f>+K46*365/'I. Parametros Grales'!$C$81</f>
        <v>1115.23459421933</v>
      </c>
      <c r="M46" s="312">
        <f t="shared" si="1"/>
        <v>347953.193396432</v>
      </c>
      <c r="N46" s="833">
        <f t="shared" si="14"/>
        <v>0.344541</v>
      </c>
      <c r="O46" s="839">
        <f t="shared" si="2"/>
        <v>421.089361454162</v>
      </c>
      <c r="P46" s="835">
        <f>+O46*365/'I. Parametros Grales'!$C$81</f>
        <v>492.620567085799</v>
      </c>
      <c r="Q46" s="312">
        <f t="shared" si="3"/>
        <v>153697.616930769</v>
      </c>
      <c r="R46" s="842">
        <f t="shared" si="4"/>
        <v>1.124541</v>
      </c>
      <c r="S46" s="843">
        <f t="shared" si="5"/>
        <v>1374.38578171836</v>
      </c>
      <c r="T46" s="839">
        <f t="shared" si="6"/>
        <v>1607.85516130513</v>
      </c>
      <c r="U46" s="312">
        <f t="shared" si="7"/>
        <v>501650.810327201</v>
      </c>
      <c r="V46" s="312">
        <f>+M46*1000/'I. Parametros Grales'!$C$145</f>
        <v>497075.990566331</v>
      </c>
      <c r="W46" s="312">
        <f>+Q46*1000/'I. Parametros Grales'!$C$145</f>
        <v>219568.024186813</v>
      </c>
      <c r="X46" s="312">
        <f>+U46*1000/'I. Parametros Grales'!$C$145</f>
        <v>716644.014753144</v>
      </c>
      <c r="Y46" s="312">
        <f>+X46*'I. Parametros Grales'!$C$149*'I. Parametros Grales'!$C$148</f>
        <v>904853.553981242</v>
      </c>
      <c r="Z46" s="449">
        <f t="shared" si="18"/>
        <v>179161.003688286</v>
      </c>
    </row>
    <row r="47" spans="2:26">
      <c r="B47" s="487">
        <v>34</v>
      </c>
      <c r="C47" s="487">
        <v>2058</v>
      </c>
      <c r="D47" s="820">
        <f>+'I.1 Proyecciones Población'!D56</f>
        <v>-0.000681313849205943</v>
      </c>
      <c r="E47" s="825">
        <f t="shared" si="8"/>
        <v>1.23609500699914</v>
      </c>
      <c r="F47" s="821">
        <f t="shared" si="19"/>
        <v>1159054.14959291</v>
      </c>
      <c r="G47" s="821">
        <f t="shared" si="20"/>
        <v>32196.5666473066</v>
      </c>
      <c r="H47" s="821">
        <f t="shared" si="21"/>
        <v>30091.4968503871</v>
      </c>
      <c r="I47" s="821">
        <f t="shared" si="12"/>
        <v>1221342.21309061</v>
      </c>
      <c r="J47" s="833">
        <f t="shared" si="13"/>
        <v>0.78</v>
      </c>
      <c r="K47" s="839">
        <f t="shared" si="0"/>
        <v>952.646926210672</v>
      </c>
      <c r="L47" s="834">
        <f>+K47*365/'I. Parametros Grales'!$C$81</f>
        <v>1114.47476944518</v>
      </c>
      <c r="M47" s="312">
        <f t="shared" si="1"/>
        <v>347716.128066895</v>
      </c>
      <c r="N47" s="833">
        <f t="shared" si="14"/>
        <v>0.344541</v>
      </c>
      <c r="O47" s="839">
        <f t="shared" si="2"/>
        <v>420.80246744045</v>
      </c>
      <c r="P47" s="835">
        <f>+O47*365/'I. Parametros Grales'!$C$81</f>
        <v>492.284937871039</v>
      </c>
      <c r="Q47" s="312">
        <f t="shared" si="3"/>
        <v>153592.900615764</v>
      </c>
      <c r="R47" s="842">
        <f t="shared" si="4"/>
        <v>1.124541</v>
      </c>
      <c r="S47" s="843">
        <f t="shared" si="5"/>
        <v>1373.44939365112</v>
      </c>
      <c r="T47" s="839">
        <f t="shared" si="6"/>
        <v>1606.75970731622</v>
      </c>
      <c r="U47" s="312">
        <f t="shared" si="7"/>
        <v>501309.02868266</v>
      </c>
      <c r="V47" s="312">
        <f>+M47*1000/'I. Parametros Grales'!$C$145</f>
        <v>496737.32580985</v>
      </c>
      <c r="W47" s="312">
        <f>+Q47*1000/'I. Parametros Grales'!$C$145</f>
        <v>219418.429451092</v>
      </c>
      <c r="X47" s="312">
        <f>+U47*1000/'I. Parametros Grales'!$C$145</f>
        <v>716155.755260942</v>
      </c>
      <c r="Y47" s="312">
        <f>+X47*'I. Parametros Grales'!$C$149*'I. Parametros Grales'!$C$148</f>
        <v>904237.064723412</v>
      </c>
      <c r="Z47" s="449">
        <f t="shared" si="18"/>
        <v>179038.938815236</v>
      </c>
    </row>
    <row r="48" spans="2:26">
      <c r="B48" s="487">
        <v>35</v>
      </c>
      <c r="C48" s="487">
        <v>2059</v>
      </c>
      <c r="D48" s="820">
        <f>+'I.1 Proyecciones Población'!D57</f>
        <v>-0.00104761064188217</v>
      </c>
      <c r="E48" s="825">
        <f t="shared" si="8"/>
        <v>1.23480006071543</v>
      </c>
      <c r="F48" s="821">
        <f t="shared" si="19"/>
        <v>1157839.91213128</v>
      </c>
      <c r="G48" s="821">
        <f t="shared" si="20"/>
        <v>32162.8371814548</v>
      </c>
      <c r="H48" s="821">
        <f t="shared" si="21"/>
        <v>30059.9726780564</v>
      </c>
      <c r="I48" s="821">
        <f t="shared" si="12"/>
        <v>1220062.72199079</v>
      </c>
      <c r="J48" s="833">
        <f t="shared" si="13"/>
        <v>0.78</v>
      </c>
      <c r="K48" s="839">
        <f t="shared" si="0"/>
        <v>951.648923152817</v>
      </c>
      <c r="L48" s="834">
        <f>+K48*365/'I. Parametros Grales'!$C$81</f>
        <v>1113.3072338166</v>
      </c>
      <c r="M48" s="312">
        <f t="shared" si="1"/>
        <v>347351.856950778</v>
      </c>
      <c r="N48" s="833">
        <f t="shared" si="14"/>
        <v>0.344541</v>
      </c>
      <c r="O48" s="839">
        <f t="shared" si="2"/>
        <v>420.361630297429</v>
      </c>
      <c r="P48" s="835">
        <f>+O48*365/'I. Parametros Grales'!$C$81</f>
        <v>491.769214931287</v>
      </c>
      <c r="Q48" s="312">
        <f t="shared" si="3"/>
        <v>153431.995058562</v>
      </c>
      <c r="R48" s="842">
        <f t="shared" si="4"/>
        <v>1.124541</v>
      </c>
      <c r="S48" s="843">
        <f t="shared" si="5"/>
        <v>1372.01055345025</v>
      </c>
      <c r="T48" s="839">
        <f t="shared" si="6"/>
        <v>1605.07644874788</v>
      </c>
      <c r="U48" s="312">
        <f t="shared" si="7"/>
        <v>500783.85200934</v>
      </c>
      <c r="V48" s="312">
        <f>+M48*1000/'I. Parametros Grales'!$C$145</f>
        <v>496216.938501112</v>
      </c>
      <c r="W48" s="312">
        <f>+Q48*1000/'I. Parametros Grales'!$C$145</f>
        <v>219188.564369374</v>
      </c>
      <c r="X48" s="312">
        <f>+U48*1000/'I. Parametros Grales'!$C$145</f>
        <v>715405.502870486</v>
      </c>
      <c r="Y48" s="312">
        <f>+X48*'I. Parametros Grales'!$C$149*'I. Parametros Grales'!$C$148</f>
        <v>903289.776351623</v>
      </c>
      <c r="Z48" s="449">
        <f t="shared" si="18"/>
        <v>178851.375717621</v>
      </c>
    </row>
    <row r="49" s="319" customFormat="1" spans="1:26">
      <c r="A49" s="819"/>
      <c r="B49" s="487">
        <v>36</v>
      </c>
      <c r="C49" s="487">
        <v>2060</v>
      </c>
      <c r="D49" s="820">
        <f>+'I.1 Proyecciones Población'!D58</f>
        <v>-0.0013739500102438</v>
      </c>
      <c r="E49" s="825">
        <f t="shared" si="8"/>
        <v>1.23310350715936</v>
      </c>
      <c r="F49" s="821">
        <f t="shared" si="19"/>
        <v>1156249.09797215</v>
      </c>
      <c r="G49" s="821">
        <f t="shared" si="20"/>
        <v>32118.6470509799</v>
      </c>
      <c r="H49" s="821">
        <f t="shared" si="21"/>
        <v>30018.6717782875</v>
      </c>
      <c r="I49" s="821">
        <f t="shared" si="12"/>
        <v>1218386.41680141</v>
      </c>
      <c r="J49" s="833">
        <f t="shared" si="13"/>
        <v>0.78</v>
      </c>
      <c r="K49" s="839">
        <f t="shared" si="0"/>
        <v>950.341405105103</v>
      </c>
      <c r="L49" s="834">
        <f>+K49*365/'I. Parametros Grales'!$C$81</f>
        <v>1111.77760533129</v>
      </c>
      <c r="M49" s="312">
        <f t="shared" si="1"/>
        <v>346874.612863363</v>
      </c>
      <c r="N49" s="833">
        <f t="shared" si="14"/>
        <v>0.344541</v>
      </c>
      <c r="O49" s="839">
        <f t="shared" si="2"/>
        <v>419.784074431176</v>
      </c>
      <c r="P49" s="835">
        <f>+O49*365/'I. Parametros Grales'!$C$81</f>
        <v>491.093548613395</v>
      </c>
      <c r="Q49" s="312">
        <f t="shared" si="3"/>
        <v>153221.187167379</v>
      </c>
      <c r="R49" s="842">
        <f t="shared" si="4"/>
        <v>1.124541</v>
      </c>
      <c r="S49" s="843">
        <f t="shared" si="5"/>
        <v>1370.12547953628</v>
      </c>
      <c r="T49" s="839">
        <f t="shared" si="6"/>
        <v>1602.87115394469</v>
      </c>
      <c r="U49" s="312">
        <f t="shared" si="7"/>
        <v>500095.800030742</v>
      </c>
      <c r="V49" s="312">
        <f>+M49*1000/'I. Parametros Grales'!$C$145</f>
        <v>495535.161233375</v>
      </c>
      <c r="W49" s="312">
        <f>+Q49*1000/'I. Parametros Grales'!$C$145</f>
        <v>218887.410239113</v>
      </c>
      <c r="X49" s="312">
        <f>+U49*1000/'I. Parametros Grales'!$C$145</f>
        <v>714422.571472488</v>
      </c>
      <c r="Y49" s="312">
        <f>+X49*'I. Parametros Grales'!$C$149*'I. Parametros Grales'!$C$148</f>
        <v>902048.701354152</v>
      </c>
      <c r="Z49" s="449">
        <f t="shared" si="18"/>
        <v>178605.642868122</v>
      </c>
    </row>
    <row r="50" spans="2:26">
      <c r="B50" s="487">
        <v>37</v>
      </c>
      <c r="C50" s="487">
        <v>2061</v>
      </c>
      <c r="D50" s="820">
        <f>+'I.1 Proyecciones Población'!D59</f>
        <v>-0.0016662670361219</v>
      </c>
      <c r="E50" s="825">
        <f t="shared" si="8"/>
        <v>1.23104882743326</v>
      </c>
      <c r="F50" s="821">
        <f t="shared" si="19"/>
        <v>1154322.47821465</v>
      </c>
      <c r="G50" s="821">
        <f t="shared" si="20"/>
        <v>32065.128808154</v>
      </c>
      <c r="H50" s="821">
        <f t="shared" si="21"/>
        <v>29968.6526550352</v>
      </c>
      <c r="I50" s="821">
        <f t="shared" si="12"/>
        <v>1216356.25967784</v>
      </c>
      <c r="J50" s="833">
        <f t="shared" si="13"/>
        <v>0.78</v>
      </c>
      <c r="K50" s="839">
        <f t="shared" si="0"/>
        <v>948.757882548715</v>
      </c>
      <c r="L50" s="834">
        <f>+K50*365/'I. Parametros Grales'!$C$81</f>
        <v>1109.92508695603</v>
      </c>
      <c r="M50" s="312">
        <f t="shared" si="1"/>
        <v>346296.627130281</v>
      </c>
      <c r="N50" s="833">
        <f t="shared" si="14"/>
        <v>0.344541</v>
      </c>
      <c r="O50" s="839">
        <f t="shared" si="2"/>
        <v>419.084602065662</v>
      </c>
      <c r="P50" s="835">
        <f>+O50*365/'I. Parametros Grales'!$C$81</f>
        <v>490.275255621688</v>
      </c>
      <c r="Q50" s="312">
        <f t="shared" si="3"/>
        <v>152965.879753967</v>
      </c>
      <c r="R50" s="842">
        <f t="shared" si="4"/>
        <v>1.124541</v>
      </c>
      <c r="S50" s="843">
        <f t="shared" si="5"/>
        <v>1367.84248461438</v>
      </c>
      <c r="T50" s="839">
        <f t="shared" si="6"/>
        <v>1600.20034257772</v>
      </c>
      <c r="U50" s="312">
        <f t="shared" si="7"/>
        <v>499262.506884248</v>
      </c>
      <c r="V50" s="312">
        <f>+M50*1000/'I. Parametros Grales'!$C$145</f>
        <v>494709.467328973</v>
      </c>
      <c r="W50" s="312">
        <f>+Q50*1000/'I. Parametros Grales'!$C$145</f>
        <v>218522.68536281</v>
      </c>
      <c r="X50" s="312">
        <f>+U50*1000/'I. Parametros Grales'!$C$145</f>
        <v>713232.152691782</v>
      </c>
      <c r="Y50" s="312">
        <f>+X50*'I. Parametros Grales'!$C$149*'I. Parametros Grales'!$C$148</f>
        <v>900545.647338109</v>
      </c>
      <c r="Z50" s="449">
        <f t="shared" si="18"/>
        <v>178308.038172946</v>
      </c>
    </row>
    <row r="51" spans="2:26">
      <c r="B51" s="487">
        <v>38</v>
      </c>
      <c r="C51" s="487">
        <v>2062</v>
      </c>
      <c r="D51" s="820">
        <f>+'I.1 Proyecciones Población'!D60</f>
        <v>-0.00191800322164604</v>
      </c>
      <c r="E51" s="825">
        <f t="shared" si="8"/>
        <v>1.22868767181623</v>
      </c>
      <c r="F51" s="821">
        <f t="shared" si="19"/>
        <v>1152108.48398262</v>
      </c>
      <c r="G51" s="821">
        <f t="shared" si="20"/>
        <v>32003.6277877975</v>
      </c>
      <c r="H51" s="821">
        <f t="shared" si="21"/>
        <v>29911.1726826944</v>
      </c>
      <c r="I51" s="821">
        <f t="shared" si="12"/>
        <v>1214023.28445311</v>
      </c>
      <c r="J51" s="833">
        <f t="shared" si="13"/>
        <v>0.78</v>
      </c>
      <c r="K51" s="839">
        <f t="shared" si="0"/>
        <v>946.938161873424</v>
      </c>
      <c r="L51" s="834">
        <f>+K51*365/'I. Parametros Grales'!$C$81</f>
        <v>1107.79624706346</v>
      </c>
      <c r="M51" s="312">
        <f t="shared" si="1"/>
        <v>345632.4290838</v>
      </c>
      <c r="N51" s="833">
        <f t="shared" si="14"/>
        <v>0.344541</v>
      </c>
      <c r="O51" s="839">
        <f t="shared" si="2"/>
        <v>418.280796448758</v>
      </c>
      <c r="P51" s="835">
        <f>+O51*365/'I. Parametros Grales'!$C$81</f>
        <v>489.334906101913</v>
      </c>
      <c r="Q51" s="312">
        <f t="shared" si="3"/>
        <v>152672.490703797</v>
      </c>
      <c r="R51" s="842">
        <f t="shared" si="4"/>
        <v>1.124541</v>
      </c>
      <c r="S51" s="843">
        <f t="shared" si="5"/>
        <v>1365.21895832218</v>
      </c>
      <c r="T51" s="839">
        <f t="shared" si="6"/>
        <v>1597.13115316537</v>
      </c>
      <c r="U51" s="312">
        <f t="shared" si="7"/>
        <v>498304.919787597</v>
      </c>
      <c r="V51" s="312">
        <f>+M51*1000/'I. Parametros Grales'!$C$145</f>
        <v>493760.612976857</v>
      </c>
      <c r="W51" s="312">
        <f>+Q51*1000/'I. Parametros Grales'!$C$145</f>
        <v>218103.558148281</v>
      </c>
      <c r="X51" s="312">
        <f>+U51*1000/'I. Parametros Grales'!$C$145</f>
        <v>711864.171125138</v>
      </c>
      <c r="Y51" s="312">
        <f>+X51*'I. Parametros Grales'!$C$149*'I. Parametros Grales'!$C$148</f>
        <v>898818.397885275</v>
      </c>
      <c r="Z51" s="449">
        <f t="shared" si="18"/>
        <v>177966.042781284</v>
      </c>
    </row>
    <row r="52" spans="2:26">
      <c r="B52" s="487">
        <v>39</v>
      </c>
      <c r="C52" s="487">
        <v>2063</v>
      </c>
      <c r="D52" s="820">
        <f>+'I.1 Proyecciones Población'!D61</f>
        <v>-0.00212522506388651</v>
      </c>
      <c r="E52" s="825">
        <f t="shared" si="8"/>
        <v>1.2260764339804</v>
      </c>
      <c r="F52" s="821">
        <f t="shared" si="19"/>
        <v>1149659.99415614</v>
      </c>
      <c r="G52" s="821">
        <f t="shared" si="20"/>
        <v>31935.6128758875</v>
      </c>
      <c r="H52" s="821">
        <f t="shared" si="21"/>
        <v>29847.6047088189</v>
      </c>
      <c r="I52" s="821">
        <f t="shared" si="12"/>
        <v>1211443.21174085</v>
      </c>
      <c r="J52" s="833">
        <f t="shared" si="13"/>
        <v>0.78</v>
      </c>
      <c r="K52" s="839">
        <f t="shared" si="0"/>
        <v>944.92570515786</v>
      </c>
      <c r="L52" s="834">
        <f>+K52*365/'I. Parametros Grales'!$C$81</f>
        <v>1105.44193071352</v>
      </c>
      <c r="M52" s="312">
        <f t="shared" si="1"/>
        <v>344897.882382619</v>
      </c>
      <c r="N52" s="833">
        <f t="shared" si="14"/>
        <v>0.344541</v>
      </c>
      <c r="O52" s="839">
        <f t="shared" si="2"/>
        <v>417.391855616403</v>
      </c>
      <c r="P52" s="835">
        <f>+O52*365/'I. Parametros Grales'!$C$81</f>
        <v>488.29495929483</v>
      </c>
      <c r="Q52" s="312">
        <f t="shared" si="3"/>
        <v>152348.027299987</v>
      </c>
      <c r="R52" s="842">
        <f t="shared" si="4"/>
        <v>1.124541</v>
      </c>
      <c r="S52" s="843">
        <f t="shared" si="5"/>
        <v>1362.31756077426</v>
      </c>
      <c r="T52" s="839">
        <f t="shared" si="6"/>
        <v>1593.73689000835</v>
      </c>
      <c r="U52" s="312">
        <f t="shared" si="7"/>
        <v>497245.909682606</v>
      </c>
      <c r="V52" s="312">
        <f>+M52*1000/'I. Parametros Grales'!$C$145</f>
        <v>492711.260546599</v>
      </c>
      <c r="W52" s="312">
        <f>+Q52*1000/'I. Parametros Grales'!$C$145</f>
        <v>217640.038999982</v>
      </c>
      <c r="X52" s="312">
        <f>+U52*1000/'I. Parametros Grales'!$C$145</f>
        <v>710351.29954658</v>
      </c>
      <c r="Y52" s="312">
        <f>+X52*'I. Parametros Grales'!$C$149*'I. Parametros Grales'!$C$148</f>
        <v>896908.206498207</v>
      </c>
      <c r="Z52" s="449">
        <f t="shared" si="18"/>
        <v>177587.824886645</v>
      </c>
    </row>
    <row r="53" spans="2:27">
      <c r="B53" s="80" t="s">
        <v>392</v>
      </c>
      <c r="F53" s="449"/>
      <c r="G53" s="449"/>
      <c r="H53" s="449"/>
      <c r="I53" s="449"/>
      <c r="Z53" s="449">
        <f t="shared" si="18"/>
        <v>0</v>
      </c>
      <c r="AA53" s="505"/>
    </row>
    <row r="54" ht="108" customHeight="1" spans="2:26">
      <c r="B54" s="826" t="s">
        <v>393</v>
      </c>
      <c r="C54" s="826"/>
      <c r="D54" s="826"/>
      <c r="E54" s="826"/>
      <c r="F54" s="826"/>
      <c r="G54" s="826"/>
      <c r="H54" s="826"/>
      <c r="I54" s="826"/>
      <c r="J54" s="826"/>
      <c r="K54" s="826"/>
      <c r="L54" s="826"/>
      <c r="M54" s="826"/>
      <c r="N54" s="826"/>
      <c r="Z54" s="449">
        <f t="shared" si="18"/>
        <v>0</v>
      </c>
    </row>
    <row r="55" customFormat="1" ht="15.75" spans="1:26">
      <c r="A55" s="827"/>
      <c r="B55" s="751" t="s">
        <v>394</v>
      </c>
      <c r="C55" s="751"/>
      <c r="D55" s="751"/>
      <c r="E55" s="751"/>
      <c r="F55" s="751"/>
      <c r="G55" s="751"/>
      <c r="H55" s="751"/>
      <c r="I55" s="751"/>
      <c r="J55" s="751"/>
      <c r="K55" s="751"/>
      <c r="L55" s="751"/>
      <c r="M55" s="751"/>
      <c r="N55" s="751"/>
      <c r="O55" s="751"/>
      <c r="P55" s="751"/>
      <c r="Q55" s="751"/>
      <c r="R55" s="751"/>
      <c r="S55" s="751"/>
      <c r="T55" s="751"/>
      <c r="U55" s="751"/>
      <c r="V55" s="751"/>
      <c r="W55" s="751"/>
      <c r="X55" s="751"/>
      <c r="Z55" s="449">
        <f t="shared" si="18"/>
        <v>0</v>
      </c>
    </row>
    <row r="56" customFormat="1" ht="15.75" spans="1:17">
      <c r="A56" s="183"/>
      <c r="B56" s="183"/>
      <c r="C56" s="183"/>
      <c r="D56" s="183"/>
      <c r="E56" s="183"/>
      <c r="F56" s="183"/>
      <c r="G56" s="183"/>
      <c r="H56" s="183"/>
      <c r="I56" s="183"/>
      <c r="J56" s="183"/>
      <c r="K56" s="183"/>
      <c r="L56" s="183"/>
      <c r="M56" s="528"/>
      <c r="N56" s="528"/>
      <c r="O56" s="528"/>
      <c r="P56" s="528"/>
      <c r="Q56" s="528"/>
    </row>
    <row r="57" customFormat="1" ht="15.75" spans="1:17">
      <c r="A57" s="183"/>
      <c r="B57" s="183"/>
      <c r="C57" s="183" t="s">
        <v>395</v>
      </c>
      <c r="D57" s="183"/>
      <c r="E57" s="183"/>
      <c r="F57" s="183"/>
      <c r="G57" s="183"/>
      <c r="H57" s="183"/>
      <c r="I57" s="183"/>
      <c r="J57" s="183"/>
      <c r="K57" s="183"/>
      <c r="L57" s="183"/>
      <c r="M57" s="528"/>
      <c r="N57" s="528"/>
      <c r="O57" s="528"/>
      <c r="P57" s="528"/>
      <c r="Q57" s="528"/>
    </row>
    <row r="58" customFormat="1" ht="60" spans="1:16">
      <c r="A58" s="183"/>
      <c r="B58" s="183"/>
      <c r="C58" s="690" t="s">
        <v>200</v>
      </c>
      <c r="D58" s="598" t="s">
        <v>396</v>
      </c>
      <c r="E58" s="598" t="s">
        <v>397</v>
      </c>
      <c r="F58" s="598" t="s">
        <v>398</v>
      </c>
      <c r="G58" s="598" t="s">
        <v>399</v>
      </c>
      <c r="H58" s="598" t="s">
        <v>400</v>
      </c>
      <c r="I58" s="80"/>
      <c r="J58" s="183"/>
      <c r="K58" s="183"/>
      <c r="L58" s="528"/>
      <c r="M58" s="528"/>
      <c r="N58" s="528"/>
      <c r="O58" s="528"/>
      <c r="P58" s="528"/>
    </row>
    <row r="59" customFormat="1" ht="15.75" spans="1:16">
      <c r="A59" s="183"/>
      <c r="B59" s="183"/>
      <c r="C59" s="209">
        <v>2024</v>
      </c>
      <c r="D59" s="778">
        <v>0</v>
      </c>
      <c r="E59" s="770">
        <f>+X13</f>
        <v>606524.246815526</v>
      </c>
      <c r="F59" s="770">
        <f>+Y13</f>
        <v>765813.442948897</v>
      </c>
      <c r="G59" s="779">
        <f t="shared" ref="G59:G98" si="22">+F59-D59</f>
        <v>765813.442948897</v>
      </c>
      <c r="H59" s="779">
        <f>+G59</f>
        <v>765813.442948897</v>
      </c>
      <c r="I59" s="80"/>
      <c r="J59" s="183"/>
      <c r="K59" s="183"/>
      <c r="L59" s="528"/>
      <c r="M59" s="528"/>
      <c r="N59" s="528"/>
      <c r="O59" s="528"/>
      <c r="P59" s="528"/>
    </row>
    <row r="60" customFormat="1" ht="15.75" spans="1:16">
      <c r="A60" s="183"/>
      <c r="B60" s="183"/>
      <c r="C60" s="760">
        <v>2025</v>
      </c>
      <c r="D60" s="778">
        <v>0</v>
      </c>
      <c r="E60" s="770">
        <f t="shared" ref="E60:E98" si="23">+X14</f>
        <v>613821.268132067</v>
      </c>
      <c r="F60" s="770">
        <f t="shared" ref="F60:F98" si="24">+Y14</f>
        <v>775026.853702104</v>
      </c>
      <c r="G60" s="779">
        <f t="shared" si="22"/>
        <v>775026.853702104</v>
      </c>
      <c r="H60" s="779">
        <f>+G60+H59</f>
        <v>1540840.296651</v>
      </c>
      <c r="I60" s="80"/>
      <c r="J60" s="183"/>
      <c r="K60" s="183"/>
      <c r="L60" s="528"/>
      <c r="M60" s="528"/>
      <c r="N60" s="528"/>
      <c r="O60" s="528"/>
      <c r="P60" s="528"/>
    </row>
    <row r="61" customFormat="1" ht="15.75" spans="1:16">
      <c r="A61" s="183"/>
      <c r="B61" s="183"/>
      <c r="C61" s="209">
        <v>2026</v>
      </c>
      <c r="D61" s="778">
        <v>0</v>
      </c>
      <c r="E61" s="770">
        <f t="shared" si="23"/>
        <v>620763.621906273</v>
      </c>
      <c r="F61" s="770">
        <f t="shared" si="24"/>
        <v>783792.451901859</v>
      </c>
      <c r="G61" s="779">
        <f t="shared" si="22"/>
        <v>783792.451901859</v>
      </c>
      <c r="H61" s="779">
        <f t="shared" ref="H61:H98" si="25">+G61+H60</f>
        <v>2324632.74855286</v>
      </c>
      <c r="I61" s="80"/>
      <c r="J61" s="183"/>
      <c r="K61" s="183"/>
      <c r="L61" s="528"/>
      <c r="M61" s="528"/>
      <c r="N61" s="528"/>
      <c r="O61" s="528"/>
      <c r="P61" s="528"/>
    </row>
    <row r="62" customFormat="1" ht="15.75" spans="1:16">
      <c r="A62" s="183"/>
      <c r="B62" s="183"/>
      <c r="C62" s="760">
        <v>2027</v>
      </c>
      <c r="D62" s="778">
        <v>0</v>
      </c>
      <c r="E62" s="770">
        <f t="shared" si="23"/>
        <v>627308.711390701</v>
      </c>
      <c r="F62" s="770">
        <f t="shared" si="24"/>
        <v>792056.453776138</v>
      </c>
      <c r="G62" s="779">
        <f t="shared" si="22"/>
        <v>792056.453776138</v>
      </c>
      <c r="H62" s="779">
        <f t="shared" si="25"/>
        <v>3116689.202329</v>
      </c>
      <c r="I62" s="80"/>
      <c r="J62" s="183"/>
      <c r="K62" s="183"/>
      <c r="L62" s="528"/>
      <c r="M62" s="528"/>
      <c r="N62" s="528"/>
      <c r="O62" s="528"/>
      <c r="P62" s="528"/>
    </row>
    <row r="63" customFormat="1" ht="15.75" spans="1:16">
      <c r="A63" s="183"/>
      <c r="B63" s="183"/>
      <c r="C63" s="209">
        <v>2028</v>
      </c>
      <c r="D63" s="778">
        <v>0</v>
      </c>
      <c r="E63" s="770">
        <f t="shared" si="23"/>
        <v>633452.261642956</v>
      </c>
      <c r="F63" s="770">
        <f t="shared" si="24"/>
        <v>799813.461670399</v>
      </c>
      <c r="G63" s="779">
        <f t="shared" si="22"/>
        <v>799813.461670399</v>
      </c>
      <c r="H63" s="779">
        <f t="shared" si="25"/>
        <v>3916502.6639994</v>
      </c>
      <c r="I63" s="80"/>
      <c r="J63" s="183"/>
      <c r="K63" s="183"/>
      <c r="L63" s="528"/>
      <c r="M63" s="528"/>
      <c r="N63" s="528"/>
      <c r="O63" s="528"/>
      <c r="P63" s="528"/>
    </row>
    <row r="64" customFormat="1" ht="15.75" spans="1:16">
      <c r="A64" s="183"/>
      <c r="B64" s="183"/>
      <c r="C64" s="760">
        <v>2029</v>
      </c>
      <c r="D64" s="778">
        <v>0</v>
      </c>
      <c r="E64" s="770">
        <f t="shared" si="23"/>
        <v>639226.487407519</v>
      </c>
      <c r="F64" s="770">
        <f t="shared" si="24"/>
        <v>807104.15076707</v>
      </c>
      <c r="G64" s="779">
        <f t="shared" si="22"/>
        <v>807104.15076707</v>
      </c>
      <c r="H64" s="779">
        <f t="shared" si="25"/>
        <v>4723606.81476647</v>
      </c>
      <c r="I64" s="80"/>
      <c r="J64" s="183"/>
      <c r="K64" s="183"/>
      <c r="L64" s="528"/>
      <c r="M64" s="528"/>
      <c r="N64" s="528"/>
      <c r="O64" s="528"/>
      <c r="P64" s="528"/>
    </row>
    <row r="65" customFormat="1" ht="15.75" spans="1:16">
      <c r="A65" s="183"/>
      <c r="B65" s="183"/>
      <c r="C65" s="209">
        <v>2030</v>
      </c>
      <c r="D65" s="778">
        <v>0</v>
      </c>
      <c r="E65" s="770">
        <f t="shared" si="23"/>
        <v>644688.947730221</v>
      </c>
      <c r="F65" s="770">
        <f t="shared" si="24"/>
        <v>814001.196629066</v>
      </c>
      <c r="G65" s="779">
        <f t="shared" si="22"/>
        <v>814001.196629066</v>
      </c>
      <c r="H65" s="779">
        <f t="shared" si="25"/>
        <v>5537608.01139553</v>
      </c>
      <c r="I65" s="80"/>
      <c r="J65" s="183"/>
      <c r="K65" s="183"/>
      <c r="L65" s="528"/>
      <c r="M65" s="528"/>
      <c r="N65" s="528"/>
      <c r="O65" s="528"/>
      <c r="P65" s="528"/>
    </row>
    <row r="66" customFormat="1" ht="15.75" spans="1:16">
      <c r="A66" s="183"/>
      <c r="B66" s="183"/>
      <c r="C66" s="760">
        <v>2031</v>
      </c>
      <c r="D66" s="778">
        <v>0</v>
      </c>
      <c r="E66" s="770">
        <f t="shared" si="23"/>
        <v>649900.102510657</v>
      </c>
      <c r="F66" s="770">
        <f t="shared" si="24"/>
        <v>820580.937513456</v>
      </c>
      <c r="G66" s="779">
        <f t="shared" si="22"/>
        <v>820580.937513456</v>
      </c>
      <c r="H66" s="779">
        <f t="shared" si="25"/>
        <v>6358188.94890899</v>
      </c>
      <c r="I66" s="80"/>
      <c r="J66" s="183"/>
      <c r="K66" s="183"/>
      <c r="L66" s="528"/>
      <c r="M66" s="528"/>
      <c r="N66" s="528"/>
      <c r="O66" s="528"/>
      <c r="P66" s="528"/>
    </row>
    <row r="67" customFormat="1" ht="15.75" spans="1:16">
      <c r="A67" s="183"/>
      <c r="B67" s="183"/>
      <c r="C67" s="209">
        <v>2032</v>
      </c>
      <c r="D67" s="778">
        <v>0</v>
      </c>
      <c r="E67" s="770">
        <f t="shared" si="23"/>
        <v>654914.304587859</v>
      </c>
      <c r="F67" s="770">
        <f t="shared" si="24"/>
        <v>826912.000742247</v>
      </c>
      <c r="G67" s="779">
        <f t="shared" si="22"/>
        <v>826912.000742247</v>
      </c>
      <c r="H67" s="779">
        <f t="shared" si="25"/>
        <v>7185100.94965124</v>
      </c>
      <c r="I67" s="80"/>
      <c r="J67" s="183"/>
      <c r="K67" s="183"/>
      <c r="L67" s="528"/>
      <c r="M67" s="528"/>
      <c r="N67" s="528"/>
      <c r="O67" s="528"/>
      <c r="P67" s="528"/>
    </row>
    <row r="68" customFormat="1" ht="15.75" spans="1:16">
      <c r="A68" s="183"/>
      <c r="B68" s="183"/>
      <c r="C68" s="760">
        <v>2033</v>
      </c>
      <c r="D68" s="778">
        <v>0</v>
      </c>
      <c r="E68" s="770">
        <f t="shared" si="23"/>
        <v>659781.173828922</v>
      </c>
      <c r="F68" s="770">
        <f t="shared" si="24"/>
        <v>833057.03766278</v>
      </c>
      <c r="G68" s="779">
        <f t="shared" si="22"/>
        <v>833057.03766278</v>
      </c>
      <c r="H68" s="779">
        <f t="shared" si="25"/>
        <v>8018157.98731402</v>
      </c>
      <c r="I68" s="80"/>
      <c r="J68" s="183"/>
      <c r="K68" s="183"/>
      <c r="L68" s="528"/>
      <c r="M68" s="528"/>
      <c r="N68" s="528"/>
      <c r="O68" s="528"/>
      <c r="P68" s="528"/>
    </row>
    <row r="69" customFormat="1" ht="15.75" spans="1:16">
      <c r="A69" s="183"/>
      <c r="B69" s="183"/>
      <c r="C69" s="209">
        <v>2034</v>
      </c>
      <c r="D69" s="778">
        <v>0</v>
      </c>
      <c r="E69" s="770">
        <f t="shared" si="23"/>
        <v>664546.818541114</v>
      </c>
      <c r="F69" s="770">
        <f t="shared" si="24"/>
        <v>839074.26583474</v>
      </c>
      <c r="G69" s="779">
        <f t="shared" si="22"/>
        <v>839074.26583474</v>
      </c>
      <c r="H69" s="779">
        <f t="shared" si="25"/>
        <v>8857232.25314876</v>
      </c>
      <c r="I69" s="80"/>
      <c r="J69" s="183"/>
      <c r="K69" s="183"/>
      <c r="L69" s="528"/>
      <c r="M69" s="528"/>
      <c r="N69" s="528"/>
      <c r="O69" s="528"/>
      <c r="P69" s="528"/>
    </row>
    <row r="70" customFormat="1" ht="15.75" spans="1:16">
      <c r="A70" s="183"/>
      <c r="B70" s="183"/>
      <c r="C70" s="760">
        <v>2035</v>
      </c>
      <c r="D70" s="778">
        <v>0</v>
      </c>
      <c r="E70" s="770">
        <f t="shared" si="23"/>
        <v>669227.422434932</v>
      </c>
      <c r="F70" s="770">
        <f t="shared" si="24"/>
        <v>844984.119236026</v>
      </c>
      <c r="G70" s="779">
        <f t="shared" si="22"/>
        <v>844984.119236026</v>
      </c>
      <c r="H70" s="779">
        <f t="shared" si="25"/>
        <v>9702216.37238478</v>
      </c>
      <c r="I70" s="80"/>
      <c r="J70" s="183"/>
      <c r="K70" s="183"/>
      <c r="L70" s="528"/>
      <c r="M70" s="528"/>
      <c r="N70" s="528"/>
      <c r="O70" s="528"/>
      <c r="P70" s="528"/>
    </row>
    <row r="71" customFormat="1" ht="15.75" spans="1:16">
      <c r="A71" s="183"/>
      <c r="B71" s="183"/>
      <c r="C71" s="209">
        <v>2036</v>
      </c>
      <c r="D71" s="778">
        <v>0</v>
      </c>
      <c r="E71" s="770">
        <f t="shared" si="23"/>
        <v>673831.688071684</v>
      </c>
      <c r="F71" s="770">
        <f t="shared" si="24"/>
        <v>850797.585949096</v>
      </c>
      <c r="G71" s="779">
        <f t="shared" si="22"/>
        <v>850797.585949096</v>
      </c>
      <c r="H71" s="779">
        <f t="shared" si="25"/>
        <v>10553013.9583339</v>
      </c>
      <c r="I71" s="80"/>
      <c r="J71" s="183"/>
      <c r="K71" s="183"/>
      <c r="L71" s="528"/>
      <c r="M71" s="528"/>
      <c r="N71" s="528"/>
      <c r="O71" s="528"/>
      <c r="P71" s="528"/>
    </row>
    <row r="72" customFormat="1" ht="15.75" spans="1:16">
      <c r="A72" s="183"/>
      <c r="B72" s="183"/>
      <c r="C72" s="760">
        <v>2037</v>
      </c>
      <c r="D72" s="778">
        <v>0</v>
      </c>
      <c r="E72" s="770">
        <f t="shared" si="23"/>
        <v>678338.393415904</v>
      </c>
      <c r="F72" s="770">
        <f t="shared" si="24"/>
        <v>856487.870474626</v>
      </c>
      <c r="G72" s="779">
        <f t="shared" si="22"/>
        <v>856487.870474626</v>
      </c>
      <c r="H72" s="779">
        <f t="shared" si="25"/>
        <v>11409501.8288085</v>
      </c>
      <c r="I72" s="80"/>
      <c r="J72" s="183"/>
      <c r="K72" s="183"/>
      <c r="L72" s="528"/>
      <c r="M72" s="528"/>
      <c r="N72" s="528"/>
      <c r="O72" s="528"/>
      <c r="P72" s="528"/>
    </row>
    <row r="73" customFormat="1" ht="15.75" spans="1:16">
      <c r="A73" s="183"/>
      <c r="B73" s="183"/>
      <c r="C73" s="209">
        <v>2038</v>
      </c>
      <c r="D73" s="778">
        <v>0</v>
      </c>
      <c r="E73" s="770">
        <f t="shared" si="23"/>
        <v>682697.002541413</v>
      </c>
      <c r="F73" s="770">
        <f t="shared" si="24"/>
        <v>861991.164825017</v>
      </c>
      <c r="G73" s="779">
        <f t="shared" si="22"/>
        <v>861991.164825017</v>
      </c>
      <c r="H73" s="779">
        <f t="shared" si="25"/>
        <v>12271492.9936335</v>
      </c>
      <c r="I73" s="80"/>
      <c r="J73" s="183"/>
      <c r="K73" s="183"/>
      <c r="L73" s="528"/>
      <c r="M73" s="528"/>
      <c r="N73" s="528"/>
      <c r="O73" s="528"/>
      <c r="P73" s="528"/>
    </row>
    <row r="74" customFormat="1" ht="15.75" spans="1:16">
      <c r="A74" s="183"/>
      <c r="B74" s="183"/>
      <c r="C74" s="760">
        <v>2039</v>
      </c>
      <c r="D74" s="778">
        <v>0</v>
      </c>
      <c r="E74" s="770">
        <f t="shared" si="23"/>
        <v>686841.71187062</v>
      </c>
      <c r="F74" s="770">
        <f t="shared" si="24"/>
        <v>867224.383675025</v>
      </c>
      <c r="G74" s="779">
        <f t="shared" si="22"/>
        <v>867224.383675025</v>
      </c>
      <c r="H74" s="779">
        <f t="shared" si="25"/>
        <v>13138717.3773085</v>
      </c>
      <c r="I74" s="80"/>
      <c r="J74" s="183"/>
      <c r="K74" s="183"/>
      <c r="L74" s="528"/>
      <c r="M74" s="528"/>
      <c r="N74" s="528"/>
      <c r="O74" s="528"/>
      <c r="P74" s="528"/>
    </row>
    <row r="75" customFormat="1" ht="15.75" spans="1:16">
      <c r="A75" s="183"/>
      <c r="B75" s="183"/>
      <c r="C75" s="209">
        <v>2040</v>
      </c>
      <c r="D75" s="778">
        <v>0</v>
      </c>
      <c r="E75" s="770">
        <f t="shared" si="23"/>
        <v>690706.25979639</v>
      </c>
      <c r="F75" s="770">
        <f t="shared" si="24"/>
        <v>872103.863379281</v>
      </c>
      <c r="G75" s="779">
        <f t="shared" si="22"/>
        <v>872103.863379281</v>
      </c>
      <c r="H75" s="779">
        <f t="shared" si="25"/>
        <v>14010821.2406878</v>
      </c>
      <c r="I75" s="80"/>
      <c r="J75" s="183"/>
      <c r="K75" s="183"/>
      <c r="L75" s="528"/>
      <c r="M75" s="528"/>
      <c r="N75" s="528"/>
      <c r="O75" s="528"/>
      <c r="P75" s="528"/>
    </row>
    <row r="76" customFormat="1" ht="15.75" spans="1:16">
      <c r="A76" s="183"/>
      <c r="B76" s="183"/>
      <c r="C76" s="760">
        <v>2041</v>
      </c>
      <c r="D76" s="778">
        <v>0</v>
      </c>
      <c r="E76" s="770">
        <f t="shared" si="23"/>
        <v>694233.392625923</v>
      </c>
      <c r="F76" s="770">
        <f t="shared" si="24"/>
        <v>876557.31392162</v>
      </c>
      <c r="G76" s="779">
        <f t="shared" si="22"/>
        <v>876557.31392162</v>
      </c>
      <c r="H76" s="779">
        <f t="shared" si="25"/>
        <v>14887378.5546094</v>
      </c>
      <c r="I76" s="80"/>
      <c r="J76" s="183"/>
      <c r="K76" s="183"/>
      <c r="L76" s="528"/>
      <c r="M76" s="528"/>
      <c r="N76" s="528"/>
      <c r="O76" s="528"/>
      <c r="P76" s="528"/>
    </row>
    <row r="77" customFormat="1" ht="15.75" spans="1:16">
      <c r="A77" s="183"/>
      <c r="B77" s="183"/>
      <c r="C77" s="209">
        <v>2042</v>
      </c>
      <c r="D77" s="778">
        <v>0</v>
      </c>
      <c r="E77" s="770">
        <f t="shared" si="23"/>
        <v>697404.789177524</v>
      </c>
      <c r="F77" s="770">
        <f t="shared" si="24"/>
        <v>880561.602496874</v>
      </c>
      <c r="G77" s="779">
        <f t="shared" si="22"/>
        <v>880561.602496874</v>
      </c>
      <c r="H77" s="779">
        <f t="shared" si="25"/>
        <v>15767940.1571063</v>
      </c>
      <c r="I77" s="80"/>
      <c r="J77" s="183"/>
      <c r="K77" s="183"/>
      <c r="L77" s="528"/>
      <c r="M77" s="528"/>
      <c r="N77" s="528"/>
      <c r="O77" s="528"/>
      <c r="P77" s="528"/>
    </row>
    <row r="78" customFormat="1" ht="15.75" spans="1:16">
      <c r="A78" s="183"/>
      <c r="B78" s="183"/>
      <c r="C78" s="760">
        <v>2043</v>
      </c>
      <c r="D78" s="778">
        <v>0</v>
      </c>
      <c r="E78" s="770">
        <f t="shared" si="23"/>
        <v>700219.075362563</v>
      </c>
      <c r="F78" s="770">
        <f t="shared" si="24"/>
        <v>884114.994144651</v>
      </c>
      <c r="G78" s="779">
        <f t="shared" si="22"/>
        <v>884114.994144651</v>
      </c>
      <c r="H78" s="779">
        <f t="shared" si="25"/>
        <v>16652055.151251</v>
      </c>
      <c r="I78" s="80"/>
      <c r="J78" s="183"/>
      <c r="K78" s="183"/>
      <c r="L78" s="528"/>
      <c r="M78" s="528"/>
      <c r="N78" s="528"/>
      <c r="O78" s="528"/>
      <c r="P78" s="528"/>
    </row>
    <row r="79" customFormat="1" ht="15.75" spans="1:16">
      <c r="A79" s="183"/>
      <c r="B79" s="183"/>
      <c r="C79" s="209">
        <v>2044</v>
      </c>
      <c r="D79" s="778">
        <v>0</v>
      </c>
      <c r="E79" s="770">
        <f t="shared" si="23"/>
        <v>702708.160572497</v>
      </c>
      <c r="F79" s="770">
        <f t="shared" si="24"/>
        <v>887257.778500627</v>
      </c>
      <c r="G79" s="779">
        <f t="shared" si="22"/>
        <v>887257.778500627</v>
      </c>
      <c r="H79" s="779">
        <f t="shared" si="25"/>
        <v>17539312.9297516</v>
      </c>
      <c r="I79" s="80"/>
      <c r="J79" s="183"/>
      <c r="K79" s="183"/>
      <c r="L79" s="528"/>
      <c r="M79" s="528"/>
      <c r="N79" s="528"/>
      <c r="O79" s="528"/>
      <c r="P79" s="528"/>
    </row>
    <row r="80" customFormat="1" ht="15.75" spans="1:16">
      <c r="A80" s="183"/>
      <c r="B80" s="183"/>
      <c r="C80" s="209">
        <v>2045</v>
      </c>
      <c r="D80" s="778">
        <v>0</v>
      </c>
      <c r="E80" s="770">
        <f t="shared" si="23"/>
        <v>704900.595315467</v>
      </c>
      <c r="F80" s="770">
        <f t="shared" si="24"/>
        <v>890026.004186196</v>
      </c>
      <c r="G80" s="779">
        <f t="shared" si="22"/>
        <v>890026.004186196</v>
      </c>
      <c r="H80" s="779">
        <f t="shared" si="25"/>
        <v>18429338.9339378</v>
      </c>
      <c r="I80" s="80"/>
      <c r="J80" s="183"/>
      <c r="K80" s="183"/>
      <c r="L80" s="528"/>
      <c r="M80" s="528"/>
      <c r="N80" s="528"/>
      <c r="O80" s="528"/>
      <c r="P80" s="528"/>
    </row>
    <row r="81" customFormat="1" ht="15.75" spans="1:16">
      <c r="A81" s="183"/>
      <c r="B81" s="183"/>
      <c r="C81" s="760">
        <v>2046</v>
      </c>
      <c r="D81" s="778">
        <v>0</v>
      </c>
      <c r="E81" s="770">
        <f t="shared" si="23"/>
        <v>706839.43436846</v>
      </c>
      <c r="F81" s="770">
        <f t="shared" si="24"/>
        <v>892474.03329351</v>
      </c>
      <c r="G81" s="779">
        <f t="shared" si="22"/>
        <v>892474.03329351</v>
      </c>
      <c r="H81" s="779">
        <f t="shared" si="25"/>
        <v>19321812.9672313</v>
      </c>
      <c r="I81" s="80"/>
      <c r="J81" s="183"/>
      <c r="K81" s="183"/>
      <c r="L81" s="528"/>
      <c r="M81" s="528"/>
      <c r="N81" s="528"/>
      <c r="O81" s="528"/>
      <c r="P81" s="528"/>
    </row>
    <row r="82" customFormat="1" ht="15.75" spans="1:16">
      <c r="A82" s="183"/>
      <c r="B82" s="183"/>
      <c r="C82" s="209">
        <v>2047</v>
      </c>
      <c r="D82" s="778">
        <v>0</v>
      </c>
      <c r="E82" s="770">
        <f t="shared" si="23"/>
        <v>708566.969125891</v>
      </c>
      <c r="F82" s="770">
        <f t="shared" si="24"/>
        <v>894655.264047842</v>
      </c>
      <c r="G82" s="779">
        <f t="shared" si="22"/>
        <v>894655.264047842</v>
      </c>
      <c r="H82" s="779">
        <f t="shared" si="25"/>
        <v>20216468.2312791</v>
      </c>
      <c r="I82" s="80"/>
      <c r="J82" s="183"/>
      <c r="K82" s="183"/>
      <c r="L82" s="528"/>
      <c r="M82" s="528"/>
      <c r="N82" s="528"/>
      <c r="O82" s="528"/>
      <c r="P82" s="528"/>
    </row>
    <row r="83" customFormat="1" ht="15.75" spans="1:16">
      <c r="A83" s="528"/>
      <c r="B83" s="528"/>
      <c r="C83" s="209">
        <v>2048</v>
      </c>
      <c r="D83" s="778">
        <v>0</v>
      </c>
      <c r="E83" s="770">
        <f t="shared" si="23"/>
        <v>710121.521392808</v>
      </c>
      <c r="F83" s="770">
        <f t="shared" si="24"/>
        <v>896618.082566676</v>
      </c>
      <c r="G83" s="779">
        <f t="shared" si="22"/>
        <v>896618.082566676</v>
      </c>
      <c r="H83" s="779">
        <f t="shared" si="25"/>
        <v>21113086.3138458</v>
      </c>
      <c r="I83" s="80"/>
      <c r="J83" s="528"/>
      <c r="K83" s="528"/>
      <c r="L83" s="528"/>
      <c r="M83" s="528"/>
      <c r="N83" s="528"/>
      <c r="O83" s="528"/>
      <c r="P83" s="528"/>
    </row>
    <row r="84" customFormat="1" ht="15" spans="3:9">
      <c r="C84" s="760">
        <v>2049</v>
      </c>
      <c r="D84" s="778">
        <v>0</v>
      </c>
      <c r="E84" s="770">
        <f t="shared" si="23"/>
        <v>711529.962235698</v>
      </c>
      <c r="F84" s="770">
        <f t="shared" si="24"/>
        <v>898396.416964265</v>
      </c>
      <c r="G84" s="779">
        <f t="shared" si="22"/>
        <v>898396.416964265</v>
      </c>
      <c r="H84" s="779">
        <f t="shared" si="25"/>
        <v>22011482.7308101</v>
      </c>
      <c r="I84" s="80"/>
    </row>
    <row r="85" customFormat="1" ht="15" spans="3:9">
      <c r="C85" s="209">
        <v>2050</v>
      </c>
      <c r="D85" s="778">
        <v>0</v>
      </c>
      <c r="E85" s="770">
        <f t="shared" si="23"/>
        <v>712809.086071116</v>
      </c>
      <c r="F85" s="770">
        <f t="shared" si="24"/>
        <v>900011.472312015</v>
      </c>
      <c r="G85" s="779">
        <f t="shared" si="22"/>
        <v>900011.472312015</v>
      </c>
      <c r="H85" s="779">
        <f t="shared" si="25"/>
        <v>22911494.2031221</v>
      </c>
      <c r="I85" s="80"/>
    </row>
    <row r="86" customFormat="1" ht="15" spans="3:9">
      <c r="C86" s="209">
        <v>2051</v>
      </c>
      <c r="D86" s="778">
        <v>0</v>
      </c>
      <c r="E86" s="770">
        <f t="shared" si="23"/>
        <v>713957.366133921</v>
      </c>
      <c r="F86" s="770">
        <f t="shared" si="24"/>
        <v>901461.320876162</v>
      </c>
      <c r="G86" s="779">
        <f t="shared" si="22"/>
        <v>901461.320876162</v>
      </c>
      <c r="H86" s="779">
        <f t="shared" si="25"/>
        <v>23812955.5239983</v>
      </c>
      <c r="I86" s="80"/>
    </row>
    <row r="87" customFormat="1" ht="15" spans="3:9">
      <c r="C87" s="760">
        <v>2052</v>
      </c>
      <c r="D87" s="778">
        <v>0</v>
      </c>
      <c r="E87" s="770">
        <f t="shared" si="23"/>
        <v>714963.199009038</v>
      </c>
      <c r="F87" s="770">
        <f t="shared" si="24"/>
        <v>902731.311880099</v>
      </c>
      <c r="G87" s="779">
        <f t="shared" si="22"/>
        <v>902731.311880099</v>
      </c>
      <c r="H87" s="779">
        <f t="shared" si="25"/>
        <v>24715686.8358784</v>
      </c>
      <c r="I87" s="80"/>
    </row>
    <row r="88" customFormat="1" ht="15" spans="3:9">
      <c r="C88" s="209">
        <v>2053</v>
      </c>
      <c r="D88" s="778">
        <v>0</v>
      </c>
      <c r="E88" s="770">
        <f t="shared" si="23"/>
        <v>715794.217275472</v>
      </c>
      <c r="F88" s="770">
        <f t="shared" si="24"/>
        <v>903780.57736802</v>
      </c>
      <c r="G88" s="779">
        <f t="shared" si="22"/>
        <v>903780.57736802</v>
      </c>
      <c r="H88" s="779">
        <f t="shared" si="25"/>
        <v>25619467.4132464</v>
      </c>
      <c r="I88" s="80"/>
    </row>
    <row r="89" customFormat="1" ht="15" spans="3:9">
      <c r="C89" s="209">
        <v>2054</v>
      </c>
      <c r="D89" s="778">
        <v>0</v>
      </c>
      <c r="E89" s="770">
        <f t="shared" si="23"/>
        <v>716408.434891835</v>
      </c>
      <c r="F89" s="770">
        <f t="shared" si="24"/>
        <v>904556.104661408</v>
      </c>
      <c r="G89" s="779">
        <f t="shared" si="22"/>
        <v>904556.104661408</v>
      </c>
      <c r="H89" s="779">
        <f t="shared" si="25"/>
        <v>26524023.5179078</v>
      </c>
      <c r="I89" s="80"/>
    </row>
    <row r="90" customFormat="1" ht="15" spans="3:9">
      <c r="C90" s="760">
        <v>2055</v>
      </c>
      <c r="D90" s="778">
        <v>0</v>
      </c>
      <c r="E90" s="770">
        <f t="shared" si="23"/>
        <v>716767.835406107</v>
      </c>
      <c r="F90" s="770">
        <f t="shared" si="24"/>
        <v>905009.893189529</v>
      </c>
      <c r="G90" s="779">
        <f t="shared" si="22"/>
        <v>905009.893189529</v>
      </c>
      <c r="H90" s="779">
        <f t="shared" si="25"/>
        <v>27429033.4110973</v>
      </c>
      <c r="I90" s="80"/>
    </row>
    <row r="91" customFormat="1" ht="15" spans="3:9">
      <c r="C91" s="209">
        <v>2056</v>
      </c>
      <c r="D91" s="778">
        <v>0</v>
      </c>
      <c r="E91" s="770">
        <f t="shared" si="23"/>
        <v>716850.433400254</v>
      </c>
      <c r="F91" s="770">
        <f t="shared" si="24"/>
        <v>905114.183586179</v>
      </c>
      <c r="G91" s="779">
        <f t="shared" si="22"/>
        <v>905114.183586179</v>
      </c>
      <c r="H91" s="779">
        <f t="shared" si="25"/>
        <v>28334147.5946835</v>
      </c>
      <c r="I91" s="80"/>
    </row>
    <row r="92" customFormat="1" ht="15" spans="3:9">
      <c r="C92" s="209">
        <v>2057</v>
      </c>
      <c r="D92" s="778">
        <v>0</v>
      </c>
      <c r="E92" s="770">
        <f t="shared" si="23"/>
        <v>716644.014753144</v>
      </c>
      <c r="F92" s="770">
        <f t="shared" si="24"/>
        <v>904853.553981242</v>
      </c>
      <c r="G92" s="779">
        <f t="shared" si="22"/>
        <v>904853.553981242</v>
      </c>
      <c r="H92" s="779">
        <f t="shared" si="25"/>
        <v>29239001.1486648</v>
      </c>
      <c r="I92" s="80"/>
    </row>
    <row r="93" customFormat="1" ht="15" spans="3:9">
      <c r="C93" s="760">
        <v>2058</v>
      </c>
      <c r="D93" s="778">
        <v>0</v>
      </c>
      <c r="E93" s="770">
        <f t="shared" si="23"/>
        <v>716155.755260942</v>
      </c>
      <c r="F93" s="770">
        <f t="shared" si="24"/>
        <v>904237.064723412</v>
      </c>
      <c r="G93" s="779">
        <f t="shared" si="22"/>
        <v>904237.064723412</v>
      </c>
      <c r="H93" s="779">
        <f t="shared" si="25"/>
        <v>30143238.2133882</v>
      </c>
      <c r="I93" s="80"/>
    </row>
    <row r="94" customFormat="1" ht="15" spans="3:9">
      <c r="C94" s="209">
        <v>2059</v>
      </c>
      <c r="D94" s="778">
        <v>0</v>
      </c>
      <c r="E94" s="770">
        <f t="shared" si="23"/>
        <v>715405.502870486</v>
      </c>
      <c r="F94" s="770">
        <f t="shared" si="24"/>
        <v>903289.776351623</v>
      </c>
      <c r="G94" s="779">
        <f t="shared" si="22"/>
        <v>903289.776351623</v>
      </c>
      <c r="H94" s="779">
        <f t="shared" si="25"/>
        <v>31046527.9897398</v>
      </c>
      <c r="I94" s="80"/>
    </row>
    <row r="95" customFormat="1" ht="15" spans="3:9">
      <c r="C95" s="209">
        <v>2060</v>
      </c>
      <c r="D95" s="778">
        <v>0</v>
      </c>
      <c r="E95" s="770">
        <f t="shared" si="23"/>
        <v>714422.571472488</v>
      </c>
      <c r="F95" s="770">
        <f t="shared" si="24"/>
        <v>902048.701354152</v>
      </c>
      <c r="G95" s="779">
        <f t="shared" si="22"/>
        <v>902048.701354152</v>
      </c>
      <c r="H95" s="779">
        <f t="shared" si="25"/>
        <v>31948576.6910939</v>
      </c>
      <c r="I95" s="80"/>
    </row>
    <row r="96" customFormat="1" ht="15" spans="3:9">
      <c r="C96" s="760">
        <v>2061</v>
      </c>
      <c r="D96" s="778">
        <v>0</v>
      </c>
      <c r="E96" s="770">
        <f t="shared" si="23"/>
        <v>713232.152691782</v>
      </c>
      <c r="F96" s="770">
        <f t="shared" si="24"/>
        <v>900545.647338109</v>
      </c>
      <c r="G96" s="779">
        <f t="shared" si="22"/>
        <v>900545.647338109</v>
      </c>
      <c r="H96" s="779">
        <f t="shared" si="25"/>
        <v>32849122.3384321</v>
      </c>
      <c r="I96" s="80"/>
    </row>
    <row r="97" customFormat="1" ht="15" spans="3:9">
      <c r="C97" s="209">
        <v>2062</v>
      </c>
      <c r="D97" s="778">
        <v>0</v>
      </c>
      <c r="E97" s="770">
        <f t="shared" si="23"/>
        <v>711864.171125138</v>
      </c>
      <c r="F97" s="770">
        <f t="shared" si="24"/>
        <v>898818.397885275</v>
      </c>
      <c r="G97" s="779">
        <f t="shared" si="22"/>
        <v>898818.397885275</v>
      </c>
      <c r="H97" s="779">
        <f t="shared" si="25"/>
        <v>33747940.7363173</v>
      </c>
      <c r="I97" s="80"/>
    </row>
    <row r="98" customFormat="1" ht="15" spans="3:9">
      <c r="C98" s="209">
        <v>2063</v>
      </c>
      <c r="D98" s="778">
        <v>0</v>
      </c>
      <c r="E98" s="770">
        <f t="shared" si="23"/>
        <v>710351.29954658</v>
      </c>
      <c r="F98" s="770">
        <f t="shared" si="24"/>
        <v>896908.206498207</v>
      </c>
      <c r="G98" s="779">
        <f t="shared" si="22"/>
        <v>896908.206498207</v>
      </c>
      <c r="H98" s="779">
        <f t="shared" si="25"/>
        <v>34644848.9428155</v>
      </c>
      <c r="I98" s="80"/>
    </row>
    <row r="99" customFormat="1" ht="15" spans="3:11">
      <c r="C99" t="s">
        <v>392</v>
      </c>
      <c r="E99" s="197"/>
      <c r="F99" s="197"/>
      <c r="G99" s="780"/>
      <c r="H99" s="197"/>
      <c r="I99" s="848"/>
      <c r="J99" s="848"/>
      <c r="K99" s="197"/>
    </row>
    <row r="102" ht="15.75" spans="2:21">
      <c r="B102" s="808" t="s">
        <v>401</v>
      </c>
      <c r="C102" s="808"/>
      <c r="D102" s="808"/>
      <c r="E102" s="808"/>
      <c r="F102" s="808"/>
      <c r="G102" s="808"/>
      <c r="H102" s="808"/>
      <c r="I102" s="808"/>
      <c r="J102" s="808"/>
      <c r="K102" s="808"/>
      <c r="L102" s="808"/>
      <c r="M102" s="808"/>
      <c r="N102" s="808"/>
      <c r="O102" s="808"/>
      <c r="P102" s="808"/>
      <c r="Q102" s="808"/>
      <c r="R102" s="808"/>
      <c r="S102" s="808"/>
      <c r="T102" s="808"/>
      <c r="U102" s="808"/>
    </row>
    <row r="105" ht="15.75" spans="2:2">
      <c r="B105" s="590" t="s">
        <v>402</v>
      </c>
    </row>
    <row r="106" ht="60" spans="2:10">
      <c r="B106" s="690" t="s">
        <v>200</v>
      </c>
      <c r="C106" s="598" t="s">
        <v>403</v>
      </c>
      <c r="D106" s="598" t="s">
        <v>404</v>
      </c>
      <c r="E106" s="598" t="s">
        <v>405</v>
      </c>
      <c r="F106" s="598" t="s">
        <v>406</v>
      </c>
      <c r="G106" s="598" t="s">
        <v>407</v>
      </c>
      <c r="H106" s="598" t="s">
        <v>408</v>
      </c>
      <c r="I106" s="598" t="s">
        <v>409</v>
      </c>
      <c r="J106" s="80" t="s">
        <v>410</v>
      </c>
    </row>
    <row r="107" ht="15" spans="2:9">
      <c r="B107" s="781">
        <v>2023</v>
      </c>
      <c r="C107" s="782">
        <f t="shared" ref="C107:C147" si="26">+M12</f>
        <v>290828.380807504</v>
      </c>
      <c r="D107" s="782">
        <f>+'III.1 Recolección'!C38</f>
        <v>275804.41619</v>
      </c>
      <c r="E107" s="783">
        <f>+D107-C107</f>
        <v>-15023.9646175035</v>
      </c>
      <c r="F107" s="782">
        <f t="shared" ref="F107:F147" si="27">+L12</f>
        <v>932.142246177896</v>
      </c>
      <c r="G107" s="782">
        <f>+'III.1 Recolección'!C37</f>
        <v>892.57092618123</v>
      </c>
      <c r="H107" s="783">
        <f>+G107-F107</f>
        <v>-39.5713199966661</v>
      </c>
      <c r="I107" s="849">
        <f>+D107/C107</f>
        <v>0.948340789245573</v>
      </c>
    </row>
    <row r="108" ht="15" spans="2:10">
      <c r="B108" s="209">
        <v>2024</v>
      </c>
      <c r="C108" s="782">
        <f t="shared" si="26"/>
        <v>294486.584981141</v>
      </c>
      <c r="D108" s="782">
        <f>+'III.1 Recolección'!$C$66</f>
        <v>291934.21619</v>
      </c>
      <c r="E108" s="783">
        <f>+D108-C108</f>
        <v>-2552.3687911412</v>
      </c>
      <c r="F108" s="782">
        <f t="shared" si="27"/>
        <v>943.86725955494</v>
      </c>
      <c r="G108" s="782">
        <f>+'III.1 Recolección'!$C$65</f>
        <v>944.77092618123</v>
      </c>
      <c r="H108" s="783">
        <f>+G108-F108</f>
        <v>0.903666626290146</v>
      </c>
      <c r="I108" s="849">
        <f>+D108/C108</f>
        <v>0.991332818127166</v>
      </c>
      <c r="J108" s="785" t="s">
        <v>411</v>
      </c>
    </row>
    <row r="109" ht="15.75" spans="2:13">
      <c r="B109" s="760">
        <v>2025</v>
      </c>
      <c r="C109" s="782">
        <f t="shared" si="26"/>
        <v>298029.518176846</v>
      </c>
      <c r="D109" s="782">
        <f>+'III.1 Recolección'!R66</f>
        <v>297310.81619</v>
      </c>
      <c r="E109" s="783">
        <f t="shared" ref="E109:E147" si="28">+D109-C109</f>
        <v>-718.701986845932</v>
      </c>
      <c r="F109" s="782">
        <f t="shared" si="27"/>
        <v>955.222814669378</v>
      </c>
      <c r="G109" s="782">
        <f>+'III.1 Recolección'!$C$65</f>
        <v>944.77092618123</v>
      </c>
      <c r="H109" s="783">
        <f t="shared" ref="H109:H147" si="29">+G109-F109</f>
        <v>-10.4518884881483</v>
      </c>
      <c r="I109" s="849">
        <f t="shared" ref="I109:I147" si="30">+D109/C109</f>
        <v>0.997588487236961</v>
      </c>
      <c r="M109" s="850"/>
    </row>
    <row r="110" ht="15.75" spans="2:13">
      <c r="B110" s="209">
        <v>2026</v>
      </c>
      <c r="C110" s="782">
        <f t="shared" si="26"/>
        <v>301400.249133491</v>
      </c>
      <c r="D110" s="782">
        <f>+'III.1 Recolección'!Z66</f>
        <v>300895.21619</v>
      </c>
      <c r="E110" s="783">
        <f t="shared" si="28"/>
        <v>-505.032943490834</v>
      </c>
      <c r="F110" s="782">
        <f t="shared" si="27"/>
        <v>966.026439530419</v>
      </c>
      <c r="G110" s="782">
        <f>+'III.1 Recolección'!$C$65</f>
        <v>944.77092618123</v>
      </c>
      <c r="H110" s="783">
        <f t="shared" si="29"/>
        <v>-21.2555133491895</v>
      </c>
      <c r="I110" s="849">
        <f t="shared" si="30"/>
        <v>0.998324377816731</v>
      </c>
      <c r="M110" s="590"/>
    </row>
    <row r="111" ht="15.75" spans="2:13">
      <c r="B111" s="760">
        <v>2027</v>
      </c>
      <c r="C111" s="782">
        <f t="shared" si="26"/>
        <v>304578.09579137</v>
      </c>
      <c r="D111" s="782">
        <f>+'III.1 Recolección'!$AD$66</f>
        <v>302687.41619</v>
      </c>
      <c r="E111" s="783">
        <f t="shared" si="28"/>
        <v>-1890.67960136983</v>
      </c>
      <c r="F111" s="782">
        <f t="shared" si="27"/>
        <v>976.21184548516</v>
      </c>
      <c r="G111" s="782">
        <f>+'III.1 Recolección'!$C$65</f>
        <v>944.77092618123</v>
      </c>
      <c r="H111" s="783">
        <f t="shared" si="29"/>
        <v>-31.4409193039301</v>
      </c>
      <c r="I111" s="849">
        <f t="shared" si="30"/>
        <v>0.993792463648913</v>
      </c>
      <c r="M111" s="850"/>
    </row>
    <row r="112" ht="15.75" spans="2:13">
      <c r="B112" s="209">
        <v>2028</v>
      </c>
      <c r="C112" s="782">
        <f t="shared" si="26"/>
        <v>307560.982531588</v>
      </c>
      <c r="D112" s="782">
        <f>+'III.1 Recolección'!$AD$66</f>
        <v>302687.41619</v>
      </c>
      <c r="E112" s="783">
        <f t="shared" si="28"/>
        <v>-4873.56634158752</v>
      </c>
      <c r="F112" s="782">
        <f t="shared" si="27"/>
        <v>985.772379908934</v>
      </c>
      <c r="G112" s="782">
        <f>+'III.1 Recolección'!$C$65</f>
        <v>944.77092618123</v>
      </c>
      <c r="H112" s="783">
        <f t="shared" si="29"/>
        <v>-41.0014537277048</v>
      </c>
      <c r="I112" s="849">
        <f t="shared" si="30"/>
        <v>0.984154146272156</v>
      </c>
      <c r="M112" s="590"/>
    </row>
    <row r="113" ht="15.75" spans="2:13">
      <c r="B113" s="760">
        <v>2029</v>
      </c>
      <c r="C113" s="782">
        <f t="shared" si="26"/>
        <v>310364.550625105</v>
      </c>
      <c r="D113" s="782">
        <f>+'III.1 Recolección'!$AD$66</f>
        <v>302687.41619</v>
      </c>
      <c r="E113" s="783">
        <f t="shared" si="28"/>
        <v>-7677.1344351045</v>
      </c>
      <c r="F113" s="782">
        <f t="shared" si="27"/>
        <v>994.758175080463</v>
      </c>
      <c r="G113" s="782">
        <f>+'III.1 Recolección'!$C$65</f>
        <v>944.77092618123</v>
      </c>
      <c r="H113" s="783">
        <f t="shared" si="29"/>
        <v>-49.9872488992335</v>
      </c>
      <c r="I113" s="849">
        <f t="shared" si="30"/>
        <v>0.97526413883402</v>
      </c>
      <c r="M113" s="590"/>
    </row>
    <row r="114" ht="15" spans="2:9">
      <c r="B114" s="209">
        <v>2030</v>
      </c>
      <c r="C114" s="782">
        <f t="shared" si="26"/>
        <v>313016.746797761</v>
      </c>
      <c r="D114" s="782">
        <f>+'III.1 Recolección'!$AD$66</f>
        <v>302687.41619</v>
      </c>
      <c r="E114" s="783">
        <f t="shared" si="28"/>
        <v>-10329.3306077605</v>
      </c>
      <c r="F114" s="782">
        <f t="shared" si="27"/>
        <v>1003.25880383898</v>
      </c>
      <c r="G114" s="782">
        <f>+'III.1 Recolección'!$C$65</f>
        <v>944.77092618123</v>
      </c>
      <c r="H114" s="783">
        <f t="shared" si="29"/>
        <v>-58.4878776577464</v>
      </c>
      <c r="I114" s="849">
        <f t="shared" si="30"/>
        <v>0.967000709344046</v>
      </c>
    </row>
    <row r="115" ht="15" spans="2:9">
      <c r="B115" s="760">
        <v>2031</v>
      </c>
      <c r="C115" s="782">
        <f t="shared" si="26"/>
        <v>315546.926231074</v>
      </c>
      <c r="D115" s="782">
        <f>+'III.1 Recolección'!$AD$66</f>
        <v>302687.41619</v>
      </c>
      <c r="E115" s="783">
        <f t="shared" si="28"/>
        <v>-12859.5100410744</v>
      </c>
      <c r="F115" s="782">
        <f t="shared" si="27"/>
        <v>1011.36835330473</v>
      </c>
      <c r="G115" s="782">
        <f>+'III.1 Recolección'!$C$65</f>
        <v>944.77092618123</v>
      </c>
      <c r="H115" s="783">
        <f t="shared" si="29"/>
        <v>-66.5974271234961</v>
      </c>
      <c r="I115" s="849">
        <f t="shared" si="30"/>
        <v>0.959246917107799</v>
      </c>
    </row>
    <row r="116" ht="15" spans="2:9">
      <c r="B116" s="209">
        <v>2032</v>
      </c>
      <c r="C116" s="782">
        <f t="shared" si="26"/>
        <v>317981.478936714</v>
      </c>
      <c r="D116" s="782">
        <f>+'III.1 Recolección'!$AD$66</f>
        <v>302687.41619</v>
      </c>
      <c r="E116" s="783">
        <f t="shared" si="28"/>
        <v>-15294.0627467139</v>
      </c>
      <c r="F116" s="782">
        <f t="shared" si="27"/>
        <v>1019.17140684844</v>
      </c>
      <c r="G116" s="782">
        <f>+'III.1 Recolección'!$C$65</f>
        <v>944.77092618123</v>
      </c>
      <c r="H116" s="783">
        <f t="shared" si="29"/>
        <v>-74.4004806672123</v>
      </c>
      <c r="I116" s="849">
        <f t="shared" si="30"/>
        <v>0.951902661759247</v>
      </c>
    </row>
    <row r="117" ht="15" spans="2:9">
      <c r="B117" s="760">
        <v>2033</v>
      </c>
      <c r="C117" s="782">
        <f t="shared" si="26"/>
        <v>320344.496919713</v>
      </c>
      <c r="D117" s="782">
        <f>+'III.1 Recolección'!$AD$66</f>
        <v>302687.41619</v>
      </c>
      <c r="E117" s="783">
        <f t="shared" si="28"/>
        <v>-17657.0807297134</v>
      </c>
      <c r="F117" s="782">
        <f t="shared" si="27"/>
        <v>1026.74518243498</v>
      </c>
      <c r="G117" s="782">
        <f>+'III.1 Recolección'!$C$65</f>
        <v>944.77092618123</v>
      </c>
      <c r="H117" s="783">
        <f t="shared" si="29"/>
        <v>-81.974256253749</v>
      </c>
      <c r="I117" s="849">
        <f t="shared" si="30"/>
        <v>0.944880961279198</v>
      </c>
    </row>
    <row r="118" ht="15" spans="2:9">
      <c r="B118" s="209">
        <v>2034</v>
      </c>
      <c r="C118" s="782">
        <f t="shared" si="26"/>
        <v>322658.367212443</v>
      </c>
      <c r="D118" s="782">
        <f>+'III.1 Recolección'!$AD$66</f>
        <v>302687.41619</v>
      </c>
      <c r="E118" s="783">
        <f t="shared" si="28"/>
        <v>-19970.9510224432</v>
      </c>
      <c r="F118" s="782">
        <f t="shared" si="27"/>
        <v>1034.16143337322</v>
      </c>
      <c r="G118" s="782">
        <f>+'III.1 Recolección'!$C$65</f>
        <v>944.77092618123</v>
      </c>
      <c r="H118" s="783">
        <f t="shared" si="29"/>
        <v>-89.3905071919858</v>
      </c>
      <c r="I118" s="849">
        <f t="shared" si="30"/>
        <v>0.938104964718631</v>
      </c>
    </row>
    <row r="119" ht="15" spans="2:9">
      <c r="B119" s="760">
        <v>2035</v>
      </c>
      <c r="C119" s="782">
        <f t="shared" si="26"/>
        <v>324930.947515007</v>
      </c>
      <c r="D119" s="782">
        <f>+'III.1 Recolección'!$AD$66</f>
        <v>302687.41619</v>
      </c>
      <c r="E119" s="783">
        <f t="shared" si="28"/>
        <v>-22243.5313250066</v>
      </c>
      <c r="F119" s="782">
        <f t="shared" si="27"/>
        <v>1041.44534459938</v>
      </c>
      <c r="G119" s="782">
        <f>+'III.1 Recolección'!$C$65</f>
        <v>944.77092618123</v>
      </c>
      <c r="H119" s="783">
        <f t="shared" si="29"/>
        <v>-96.6744184181507</v>
      </c>
      <c r="I119" s="849">
        <f t="shared" si="30"/>
        <v>0.93154382032515</v>
      </c>
    </row>
    <row r="120" ht="15" spans="2:9">
      <c r="B120" s="209">
        <v>2036</v>
      </c>
      <c r="C120" s="782">
        <f t="shared" si="26"/>
        <v>327166.463194441</v>
      </c>
      <c r="D120" s="782">
        <f>+'III.1 Recolección'!$AD$66</f>
        <v>302687.41619</v>
      </c>
      <c r="E120" s="783">
        <f t="shared" si="28"/>
        <v>-24479.0470044406</v>
      </c>
      <c r="F120" s="782">
        <f t="shared" si="27"/>
        <v>1048.61045895654</v>
      </c>
      <c r="G120" s="782">
        <f>+'III.1 Recolección'!$C$65</f>
        <v>944.77092618123</v>
      </c>
      <c r="H120" s="783">
        <f t="shared" si="29"/>
        <v>-103.839532775311</v>
      </c>
      <c r="I120" s="849">
        <f t="shared" si="30"/>
        <v>0.925178617742698</v>
      </c>
    </row>
    <row r="121" ht="15" spans="2:9">
      <c r="B121" s="760">
        <v>2037</v>
      </c>
      <c r="C121" s="782">
        <f t="shared" si="26"/>
        <v>329354.610285515</v>
      </c>
      <c r="D121" s="782">
        <f>+'III.1 Recolección'!$AD$66</f>
        <v>302687.41619</v>
      </c>
      <c r="E121" s="783">
        <f t="shared" si="28"/>
        <v>-26667.1940955151</v>
      </c>
      <c r="F121" s="782">
        <f t="shared" si="27"/>
        <v>1055.62375091511</v>
      </c>
      <c r="G121" s="782">
        <f>+'III.1 Recolección'!$C$65</f>
        <v>944.77092618123</v>
      </c>
      <c r="H121" s="783">
        <f t="shared" si="29"/>
        <v>-110.852824733883</v>
      </c>
      <c r="I121" s="849">
        <f t="shared" si="30"/>
        <v>0.919031969607477</v>
      </c>
    </row>
    <row r="122" ht="15" spans="2:9">
      <c r="B122" s="209">
        <v>2038</v>
      </c>
      <c r="C122" s="782">
        <f t="shared" si="26"/>
        <v>331470.852007718</v>
      </c>
      <c r="D122" s="782">
        <f>+'III.1 Recolección'!$AD$66</f>
        <v>302687.41619</v>
      </c>
      <c r="E122" s="783">
        <f t="shared" si="28"/>
        <v>-28783.4358177183</v>
      </c>
      <c r="F122" s="782">
        <f t="shared" si="27"/>
        <v>1062.40657694782</v>
      </c>
      <c r="G122" s="782">
        <f>+'III.1 Recolección'!$C$65</f>
        <v>944.77092618123</v>
      </c>
      <c r="H122" s="783">
        <f t="shared" si="29"/>
        <v>-117.635650766586</v>
      </c>
      <c r="I122" s="849">
        <f t="shared" si="30"/>
        <v>0.91316450407818</v>
      </c>
    </row>
    <row r="123" ht="15" spans="2:9">
      <c r="B123" s="760">
        <v>2039</v>
      </c>
      <c r="C123" s="782">
        <f t="shared" si="26"/>
        <v>333483.238655913</v>
      </c>
      <c r="D123" s="782">
        <f>+'III.1 Recolección'!$AD$66</f>
        <v>302687.41619</v>
      </c>
      <c r="E123" s="783">
        <f t="shared" si="28"/>
        <v>-30795.8224659126</v>
      </c>
      <c r="F123" s="782">
        <f t="shared" si="27"/>
        <v>1068.85653415357</v>
      </c>
      <c r="G123" s="782">
        <f>+'III.1 Recolección'!$C$65</f>
        <v>944.77092618123</v>
      </c>
      <c r="H123" s="783">
        <f t="shared" si="29"/>
        <v>-124.085607972336</v>
      </c>
      <c r="I123" s="849">
        <f t="shared" si="30"/>
        <v>0.907654062045116</v>
      </c>
    </row>
    <row r="124" ht="15" spans="2:9">
      <c r="B124" s="209">
        <v>2040</v>
      </c>
      <c r="C124" s="782">
        <f t="shared" si="26"/>
        <v>335359.598137221</v>
      </c>
      <c r="D124" s="782">
        <f>+'III.1 Recolección'!$AD$66</f>
        <v>302687.41619</v>
      </c>
      <c r="E124" s="783">
        <f t="shared" si="28"/>
        <v>-32672.1819472215</v>
      </c>
      <c r="F124" s="782">
        <f t="shared" si="27"/>
        <v>1074.87050685007</v>
      </c>
      <c r="G124" s="782">
        <f>+'III.1 Recolección'!$C$65</f>
        <v>944.77092618123</v>
      </c>
      <c r="H124" s="783">
        <f t="shared" si="29"/>
        <v>-130.099580668839</v>
      </c>
      <c r="I124" s="849">
        <f t="shared" si="30"/>
        <v>0.902575676591034</v>
      </c>
    </row>
    <row r="125" ht="15" spans="2:9">
      <c r="B125" s="760">
        <v>2041</v>
      </c>
      <c r="C125" s="782">
        <f t="shared" si="26"/>
        <v>337072.131984298</v>
      </c>
      <c r="D125" s="782">
        <f>+'III.1 Recolección'!$AD$66</f>
        <v>302687.41619</v>
      </c>
      <c r="E125" s="783">
        <f t="shared" si="28"/>
        <v>-34384.7157942978</v>
      </c>
      <c r="F125" s="782">
        <f t="shared" si="27"/>
        <v>1080.35939738557</v>
      </c>
      <c r="G125" s="782">
        <f>+'III.1 Recolección'!$C$65</f>
        <v>944.77092618123</v>
      </c>
      <c r="H125" s="783">
        <f t="shared" si="29"/>
        <v>-135.58847120434</v>
      </c>
      <c r="I125" s="849">
        <f t="shared" si="30"/>
        <v>0.897990036755992</v>
      </c>
    </row>
    <row r="126" ht="15" spans="2:9">
      <c r="B126" s="209">
        <v>2042</v>
      </c>
      <c r="C126" s="782">
        <f t="shared" si="26"/>
        <v>338611.944687591</v>
      </c>
      <c r="D126" s="782">
        <f>+'III.1 Recolección'!$AD$66</f>
        <v>302687.41619</v>
      </c>
      <c r="E126" s="783">
        <f t="shared" si="28"/>
        <v>-35924.5284975907</v>
      </c>
      <c r="F126" s="782">
        <f t="shared" si="27"/>
        <v>1085.29469451151</v>
      </c>
      <c r="G126" s="782">
        <f>+'III.1 Recolección'!$C$65</f>
        <v>944.77092618123</v>
      </c>
      <c r="H126" s="783">
        <f t="shared" si="29"/>
        <v>-140.523768330279</v>
      </c>
      <c r="I126" s="849">
        <f t="shared" si="30"/>
        <v>0.893906493668629</v>
      </c>
    </row>
    <row r="127" ht="15" spans="2:9">
      <c r="B127" s="760">
        <v>2043</v>
      </c>
      <c r="C127" s="782">
        <f t="shared" si="26"/>
        <v>339978.369083884</v>
      </c>
      <c r="D127" s="782">
        <f>+'III.1 Recolección'!$AD$66</f>
        <v>302687.41619</v>
      </c>
      <c r="E127" s="783">
        <f t="shared" si="28"/>
        <v>-37290.9528938837</v>
      </c>
      <c r="F127" s="782">
        <f t="shared" si="27"/>
        <v>1089.67425988424</v>
      </c>
      <c r="G127" s="782">
        <f>+'III.1 Recolección'!$C$65</f>
        <v>944.77092618123</v>
      </c>
      <c r="H127" s="783">
        <f t="shared" si="29"/>
        <v>-144.903333703013</v>
      </c>
      <c r="I127" s="849">
        <f t="shared" si="30"/>
        <v>0.890313748505915</v>
      </c>
    </row>
    <row r="128" ht="15" spans="2:9">
      <c r="B128" s="209">
        <v>2044</v>
      </c>
      <c r="C128" s="782">
        <f t="shared" si="26"/>
        <v>341186.898185645</v>
      </c>
      <c r="D128" s="782">
        <f>+'III.1 Recolección'!$AD$66</f>
        <v>302687.41619</v>
      </c>
      <c r="E128" s="783">
        <f t="shared" si="28"/>
        <v>-38499.4819956448</v>
      </c>
      <c r="F128" s="782">
        <f t="shared" si="27"/>
        <v>1093.54775059502</v>
      </c>
      <c r="G128" s="782">
        <f>+'III.1 Recolección'!$C$65</f>
        <v>944.77092618123</v>
      </c>
      <c r="H128" s="783">
        <f t="shared" si="29"/>
        <v>-148.776824413786</v>
      </c>
      <c r="I128" s="849">
        <f t="shared" si="30"/>
        <v>0.88716013950015</v>
      </c>
    </row>
    <row r="129" ht="15" spans="2:9">
      <c r="B129" s="209">
        <v>2045</v>
      </c>
      <c r="C129" s="782">
        <f t="shared" si="26"/>
        <v>342251.394161925</v>
      </c>
      <c r="D129" s="782">
        <f>+'III.1 Recolección'!$AD$66</f>
        <v>302687.41619</v>
      </c>
      <c r="E129" s="783">
        <f t="shared" si="28"/>
        <v>-39563.9779719246</v>
      </c>
      <c r="F129" s="782">
        <f t="shared" si="27"/>
        <v>1096.95959667284</v>
      </c>
      <c r="G129" s="782">
        <f>+'III.1 Recolección'!$C$65</f>
        <v>944.77092618123</v>
      </c>
      <c r="H129" s="783">
        <f t="shared" si="29"/>
        <v>-152.188670491606</v>
      </c>
      <c r="I129" s="849">
        <f t="shared" si="30"/>
        <v>0.884400827442046</v>
      </c>
    </row>
    <row r="130" ht="15" spans="2:9">
      <c r="B130" s="760">
        <v>2046</v>
      </c>
      <c r="C130" s="782">
        <f t="shared" si="26"/>
        <v>343192.761460168</v>
      </c>
      <c r="D130" s="782">
        <f>+'III.1 Recolección'!$AD$66</f>
        <v>302687.41619</v>
      </c>
      <c r="E130" s="783">
        <f t="shared" si="28"/>
        <v>-40505.3452701683</v>
      </c>
      <c r="F130" s="782">
        <f t="shared" si="27"/>
        <v>1099.97679955182</v>
      </c>
      <c r="G130" s="782">
        <f>+'III.1 Recolección'!$C$65</f>
        <v>944.77092618123</v>
      </c>
      <c r="H130" s="783">
        <f t="shared" si="29"/>
        <v>-155.205873370592</v>
      </c>
      <c r="I130" s="849">
        <f t="shared" si="30"/>
        <v>0.881974942892642</v>
      </c>
    </row>
    <row r="131" ht="15" spans="2:9">
      <c r="B131" s="209">
        <v>2047</v>
      </c>
      <c r="C131" s="782">
        <f t="shared" si="26"/>
        <v>344031.533881589</v>
      </c>
      <c r="D131" s="782">
        <f>+'III.1 Recolección'!$AD$66</f>
        <v>302687.41619</v>
      </c>
      <c r="E131" s="783">
        <f t="shared" si="28"/>
        <v>-41344.1176915894</v>
      </c>
      <c r="F131" s="782">
        <f t="shared" si="27"/>
        <v>1102.6651726974</v>
      </c>
      <c r="G131" s="782">
        <f>+'III.1 Recolección'!$C$65</f>
        <v>944.77092618123</v>
      </c>
      <c r="H131" s="783">
        <f t="shared" si="29"/>
        <v>-157.894246516172</v>
      </c>
      <c r="I131" s="849">
        <f t="shared" si="30"/>
        <v>0.879824627628991</v>
      </c>
    </row>
    <row r="132" ht="15" spans="2:9">
      <c r="B132" s="209">
        <v>2048</v>
      </c>
      <c r="C132" s="782">
        <f t="shared" si="26"/>
        <v>344786.317866999</v>
      </c>
      <c r="D132" s="782">
        <f>+'III.1 Recolección'!$AD$66</f>
        <v>302687.41619</v>
      </c>
      <c r="E132" s="783">
        <f t="shared" si="28"/>
        <v>-42098.9016769991</v>
      </c>
      <c r="F132" s="782">
        <f t="shared" si="27"/>
        <v>1105.08435213782</v>
      </c>
      <c r="G132" s="782">
        <f>+'III.1 Recolección'!$C$65</f>
        <v>944.77092618123</v>
      </c>
      <c r="H132" s="783">
        <f t="shared" si="29"/>
        <v>-160.313425956588</v>
      </c>
      <c r="I132" s="849">
        <f t="shared" si="30"/>
        <v>0.877898572259359</v>
      </c>
    </row>
    <row r="133" ht="15" spans="2:9">
      <c r="B133" s="760">
        <v>2049</v>
      </c>
      <c r="C133" s="782">
        <f t="shared" si="26"/>
        <v>345470.160163739</v>
      </c>
      <c r="D133" s="782">
        <f>+'III.1 Recolección'!$AD$66</f>
        <v>302687.41619</v>
      </c>
      <c r="E133" s="783">
        <f t="shared" si="28"/>
        <v>-42782.7439737386</v>
      </c>
      <c r="F133" s="782">
        <f t="shared" si="27"/>
        <v>1107.27615437096</v>
      </c>
      <c r="G133" s="782">
        <f>+'III.1 Recolección'!$C$65</f>
        <v>944.77092618123</v>
      </c>
      <c r="H133" s="783">
        <f t="shared" si="29"/>
        <v>-162.505228189728</v>
      </c>
      <c r="I133" s="849">
        <f t="shared" si="30"/>
        <v>0.876160812402839</v>
      </c>
    </row>
    <row r="134" ht="15" spans="2:9">
      <c r="B134" s="209">
        <v>2050</v>
      </c>
      <c r="C134" s="782">
        <f t="shared" si="26"/>
        <v>346091.214988897</v>
      </c>
      <c r="D134" s="782">
        <f>+'III.1 Recolección'!$AD$66</f>
        <v>302687.41619</v>
      </c>
      <c r="E134" s="783">
        <f t="shared" si="28"/>
        <v>-43403.7987988969</v>
      </c>
      <c r="F134" s="782">
        <f t="shared" si="27"/>
        <v>1109.266714708</v>
      </c>
      <c r="G134" s="782">
        <f>+'III.1 Recolección'!$C$65</f>
        <v>944.77092618123</v>
      </c>
      <c r="H134" s="783">
        <f t="shared" si="29"/>
        <v>-164.495788526773</v>
      </c>
      <c r="I134" s="849">
        <f t="shared" si="30"/>
        <v>0.874588556660448</v>
      </c>
    </row>
    <row r="135" ht="15" spans="2:9">
      <c r="B135" s="209">
        <v>2051</v>
      </c>
      <c r="C135" s="782">
        <f t="shared" si="26"/>
        <v>346648.741050011</v>
      </c>
      <c r="D135" s="782">
        <f>+'III.1 Recolección'!$AD$66</f>
        <v>302687.41619</v>
      </c>
      <c r="E135" s="783">
        <f t="shared" si="28"/>
        <v>-43961.3248600112</v>
      </c>
      <c r="F135" s="782">
        <f t="shared" si="27"/>
        <v>1111.05365721157</v>
      </c>
      <c r="G135" s="782">
        <f>+'III.1 Recolección'!$C$65</f>
        <v>944.77092618123</v>
      </c>
      <c r="H135" s="783">
        <f t="shared" si="29"/>
        <v>-166.282731030345</v>
      </c>
      <c r="I135" s="849">
        <f t="shared" si="30"/>
        <v>0.873181928407267</v>
      </c>
    </row>
    <row r="136" ht="15" spans="2:9">
      <c r="B136" s="760">
        <v>2052</v>
      </c>
      <c r="C136" s="782">
        <f t="shared" si="26"/>
        <v>347137.104524366</v>
      </c>
      <c r="D136" s="782">
        <f>+'III.1 Recolección'!$AD$66</f>
        <v>302687.41619</v>
      </c>
      <c r="E136" s="783">
        <f t="shared" si="28"/>
        <v>-44449.6883343658</v>
      </c>
      <c r="F136" s="782">
        <f t="shared" si="27"/>
        <v>1112.61892475758</v>
      </c>
      <c r="G136" s="782">
        <f>+'III.1 Recolección'!$C$65</f>
        <v>944.77092618123</v>
      </c>
      <c r="H136" s="783">
        <f t="shared" si="29"/>
        <v>-167.847998576353</v>
      </c>
      <c r="I136" s="849">
        <f t="shared" si="30"/>
        <v>0.871953508411989</v>
      </c>
    </row>
    <row r="137" ht="15" spans="2:9">
      <c r="B137" s="209">
        <v>2053</v>
      </c>
      <c r="C137" s="782">
        <f t="shared" si="26"/>
        <v>347540.590011754</v>
      </c>
      <c r="D137" s="782">
        <f>+'III.1 Recolección'!$AD$66</f>
        <v>302687.41619</v>
      </c>
      <c r="E137" s="783">
        <f t="shared" si="28"/>
        <v>-44853.1738217538</v>
      </c>
      <c r="F137" s="782">
        <f t="shared" si="27"/>
        <v>1113.91214747357</v>
      </c>
      <c r="G137" s="782">
        <f>+'III.1 Recolección'!$C$65</f>
        <v>944.77092618123</v>
      </c>
      <c r="H137" s="783">
        <f t="shared" si="29"/>
        <v>-169.14122129234</v>
      </c>
      <c r="I137" s="849">
        <f t="shared" si="30"/>
        <v>0.870941193314321</v>
      </c>
    </row>
    <row r="138" ht="15" spans="2:9">
      <c r="B138" s="209">
        <v>2054</v>
      </c>
      <c r="C138" s="782">
        <f t="shared" si="26"/>
        <v>347838.811969454</v>
      </c>
      <c r="D138" s="782">
        <f>+'III.1 Recolección'!$AD$66</f>
        <v>302687.41619</v>
      </c>
      <c r="E138" s="783">
        <f t="shared" si="28"/>
        <v>-45151.395779454</v>
      </c>
      <c r="F138" s="782">
        <f t="shared" si="27"/>
        <v>1114.86798708158</v>
      </c>
      <c r="G138" s="782">
        <f>+'III.1 Recolección'!$C$65</f>
        <v>944.77092618123</v>
      </c>
      <c r="H138" s="783">
        <f t="shared" si="29"/>
        <v>-170.097060900354</v>
      </c>
      <c r="I138" s="849">
        <f t="shared" si="30"/>
        <v>0.870194485992497</v>
      </c>
    </row>
    <row r="139" ht="15" spans="2:9">
      <c r="B139" s="760">
        <v>2055</v>
      </c>
      <c r="C139" s="782">
        <f t="shared" si="26"/>
        <v>348013.312215148</v>
      </c>
      <c r="D139" s="782">
        <f>+'III.1 Recolección'!$AD$66</f>
        <v>302687.41619</v>
      </c>
      <c r="E139" s="783">
        <f t="shared" si="28"/>
        <v>-45325.8960251477</v>
      </c>
      <c r="F139" s="782">
        <f t="shared" si="27"/>
        <v>1115.42728274086</v>
      </c>
      <c r="G139" s="782">
        <f>+'III.1 Recolección'!$C$65</f>
        <v>944.77092618123</v>
      </c>
      <c r="H139" s="783">
        <f t="shared" si="29"/>
        <v>-170.656356559628</v>
      </c>
      <c r="I139" s="849">
        <f t="shared" si="30"/>
        <v>0.869758154546897</v>
      </c>
    </row>
    <row r="140" ht="15" spans="2:9">
      <c r="B140" s="209">
        <v>2056</v>
      </c>
      <c r="C140" s="782">
        <f t="shared" si="26"/>
        <v>348053.416137374</v>
      </c>
      <c r="D140" s="782">
        <f>+'III.1 Recolección'!$AD$66</f>
        <v>302687.41619</v>
      </c>
      <c r="E140" s="783">
        <f t="shared" si="28"/>
        <v>-45365.9999473739</v>
      </c>
      <c r="F140" s="782">
        <f t="shared" si="27"/>
        <v>1115.55582095312</v>
      </c>
      <c r="G140" s="782">
        <f>+'III.1 Recolección'!$C$65</f>
        <v>944.77092618123</v>
      </c>
      <c r="H140" s="783">
        <f t="shared" si="29"/>
        <v>-170.784894771892</v>
      </c>
      <c r="I140" s="849">
        <f t="shared" si="30"/>
        <v>0.869657937994585</v>
      </c>
    </row>
    <row r="141" ht="15" spans="2:9">
      <c r="B141" s="209">
        <v>2057</v>
      </c>
      <c r="C141" s="782">
        <f t="shared" si="26"/>
        <v>347953.193396432</v>
      </c>
      <c r="D141" s="782">
        <f>+'III.1 Recolección'!$AD$66</f>
        <v>302687.41619</v>
      </c>
      <c r="E141" s="783">
        <f t="shared" si="28"/>
        <v>-45265.7772064317</v>
      </c>
      <c r="F141" s="782">
        <f t="shared" si="27"/>
        <v>1115.23459421933</v>
      </c>
      <c r="G141" s="782">
        <f>+'III.1 Recolección'!$C$65</f>
        <v>944.77092618123</v>
      </c>
      <c r="H141" s="783">
        <f t="shared" si="29"/>
        <v>-170.463668038103</v>
      </c>
      <c r="I141" s="849">
        <f t="shared" si="30"/>
        <v>0.869908430025934</v>
      </c>
    </row>
    <row r="142" ht="15" spans="2:9">
      <c r="B142" s="760">
        <v>2058</v>
      </c>
      <c r="C142" s="782">
        <f t="shared" si="26"/>
        <v>347716.128066895</v>
      </c>
      <c r="D142" s="782">
        <f>+'III.1 Recolección'!$AD$66</f>
        <v>302687.41619</v>
      </c>
      <c r="E142" s="783">
        <f t="shared" si="28"/>
        <v>-45028.7118768953</v>
      </c>
      <c r="F142" s="782">
        <f t="shared" si="27"/>
        <v>1114.47476944518</v>
      </c>
      <c r="G142" s="782">
        <f>+'III.1 Recolección'!$C$65</f>
        <v>944.77092618123</v>
      </c>
      <c r="H142" s="783">
        <f t="shared" si="29"/>
        <v>-169.703843263948</v>
      </c>
      <c r="I142" s="849">
        <f t="shared" si="30"/>
        <v>0.870501514763697</v>
      </c>
    </row>
    <row r="143" ht="15" spans="2:9">
      <c r="B143" s="209">
        <v>2059</v>
      </c>
      <c r="C143" s="782">
        <f t="shared" si="26"/>
        <v>347351.856950778</v>
      </c>
      <c r="D143" s="782">
        <f>+'III.1 Recolección'!$AD$66</f>
        <v>302687.41619</v>
      </c>
      <c r="E143" s="783">
        <f t="shared" si="28"/>
        <v>-44664.4407607783</v>
      </c>
      <c r="F143" s="782">
        <f t="shared" si="27"/>
        <v>1113.3072338166</v>
      </c>
      <c r="G143" s="782">
        <f>+'III.1 Recolección'!$C$65</f>
        <v>944.77092618123</v>
      </c>
      <c r="H143" s="783">
        <f t="shared" si="29"/>
        <v>-168.536307635367</v>
      </c>
      <c r="I143" s="849">
        <f t="shared" si="30"/>
        <v>0.871414417781254</v>
      </c>
    </row>
    <row r="144" ht="15" spans="2:9">
      <c r="B144" s="209">
        <v>2060</v>
      </c>
      <c r="C144" s="782">
        <f t="shared" si="26"/>
        <v>346874.612863363</v>
      </c>
      <c r="D144" s="782">
        <f>+'III.1 Recolección'!$AD$66</f>
        <v>302687.41619</v>
      </c>
      <c r="E144" s="783">
        <f t="shared" si="28"/>
        <v>-44187.1966733626</v>
      </c>
      <c r="F144" s="782">
        <f t="shared" si="27"/>
        <v>1111.77760533129</v>
      </c>
      <c r="G144" s="782">
        <f>+'III.1 Recolección'!$C$65</f>
        <v>944.77092618123</v>
      </c>
      <c r="H144" s="783">
        <f t="shared" si="29"/>
        <v>-167.006679150061</v>
      </c>
      <c r="I144" s="849">
        <f t="shared" si="30"/>
        <v>0.872613344895412</v>
      </c>
    </row>
    <row r="145" ht="15" spans="2:9">
      <c r="B145" s="760">
        <v>2061</v>
      </c>
      <c r="C145" s="782">
        <f t="shared" si="26"/>
        <v>346296.627130281</v>
      </c>
      <c r="D145" s="782">
        <f>+'III.1 Recolección'!$AD$66</f>
        <v>302687.41619</v>
      </c>
      <c r="E145" s="783">
        <f t="shared" si="28"/>
        <v>-43609.2109402809</v>
      </c>
      <c r="F145" s="782">
        <f t="shared" si="27"/>
        <v>1109.92508695603</v>
      </c>
      <c r="G145" s="782">
        <f>+'III.1 Recolección'!$C$65</f>
        <v>944.77092618123</v>
      </c>
      <c r="H145" s="783">
        <f t="shared" si="29"/>
        <v>-165.154160774799</v>
      </c>
      <c r="I145" s="849">
        <f t="shared" si="30"/>
        <v>0.874069778554688</v>
      </c>
    </row>
    <row r="146" ht="15" spans="2:9">
      <c r="B146" s="209">
        <v>2062</v>
      </c>
      <c r="C146" s="782">
        <f t="shared" si="26"/>
        <v>345632.4290838</v>
      </c>
      <c r="D146" s="782">
        <f>+'III.1 Recolección'!$AD$66</f>
        <v>302687.41619</v>
      </c>
      <c r="E146" s="783">
        <f t="shared" si="28"/>
        <v>-42945.0128937998</v>
      </c>
      <c r="F146" s="782">
        <f t="shared" si="27"/>
        <v>1107.79624706346</v>
      </c>
      <c r="G146" s="782">
        <f>+'III.1 Recolección'!$C$65</f>
        <v>944.77092618123</v>
      </c>
      <c r="H146" s="783">
        <f t="shared" si="29"/>
        <v>-163.025320882231</v>
      </c>
      <c r="I146" s="849">
        <f t="shared" si="30"/>
        <v>0.875749468857311</v>
      </c>
    </row>
    <row r="147" ht="15" spans="2:9">
      <c r="B147" s="209">
        <v>2063</v>
      </c>
      <c r="C147" s="782">
        <f t="shared" si="26"/>
        <v>344897.882382619</v>
      </c>
      <c r="D147" s="782">
        <f>+'III.1 Recolección'!$AD$66</f>
        <v>302687.41619</v>
      </c>
      <c r="E147" s="783">
        <f t="shared" si="28"/>
        <v>-42210.466192619</v>
      </c>
      <c r="F147" s="782">
        <f t="shared" si="27"/>
        <v>1105.44193071352</v>
      </c>
      <c r="G147" s="782">
        <f>+'III.1 Recolección'!$C$65</f>
        <v>944.77092618123</v>
      </c>
      <c r="H147" s="783">
        <f t="shared" si="29"/>
        <v>-160.671004532293</v>
      </c>
      <c r="I147" s="849">
        <f t="shared" si="30"/>
        <v>0.87761459739613</v>
      </c>
    </row>
    <row r="148" ht="15" spans="2:10">
      <c r="B148" t="s">
        <v>392</v>
      </c>
      <c r="C148"/>
      <c r="D148"/>
      <c r="E148"/>
      <c r="F148"/>
      <c r="G148"/>
      <c r="H148"/>
      <c r="I148"/>
      <c r="J148"/>
    </row>
    <row r="149" ht="15" spans="6:10">
      <c r="F149"/>
      <c r="G149"/>
      <c r="H149"/>
      <c r="I149"/>
      <c r="J149"/>
    </row>
    <row r="150" ht="15" spans="6:10">
      <c r="F150"/>
      <c r="G150"/>
      <c r="H150"/>
      <c r="I150"/>
      <c r="J150"/>
    </row>
    <row r="151" ht="15" spans="6:10">
      <c r="F151"/>
      <c r="G151"/>
      <c r="H151"/>
      <c r="I151"/>
      <c r="J151"/>
    </row>
  </sheetData>
  <mergeCells count="10">
    <mergeCell ref="B2:U2"/>
    <mergeCell ref="B4:U4"/>
    <mergeCell ref="D7:E7"/>
    <mergeCell ref="F7:I7"/>
    <mergeCell ref="J7:M7"/>
    <mergeCell ref="N7:Q7"/>
    <mergeCell ref="R7:U7"/>
    <mergeCell ref="B54:N54"/>
    <mergeCell ref="B55:X55"/>
    <mergeCell ref="B102:U102"/>
  </mergeCells>
  <pageMargins left="0.7" right="0.7" top="0.75" bottom="0.75" header="0.3" footer="0.3"/>
  <pageSetup paperSize="9" orientation="portrait"/>
  <headerFooter/>
  <ignoredErrors>
    <ignoredError sqref="I9" formulaRange="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AF91"/>
  <sheetViews>
    <sheetView workbookViewId="0">
      <selection activeCell="G51" sqref="G51"/>
    </sheetView>
  </sheetViews>
  <sheetFormatPr defaultColWidth="11.552380952381" defaultRowHeight="15"/>
  <cols>
    <col min="1" max="1" width="4.88571428571429" customWidth="1"/>
    <col min="2" max="2" width="29.3333333333333" customWidth="1"/>
    <col min="4" max="4" width="16.3333333333333" customWidth="1"/>
    <col min="5" max="6" width="13.6666666666667" customWidth="1"/>
  </cols>
  <sheetData>
    <row r="2" ht="21" customHeight="1" spans="2:23">
      <c r="B2" s="738" t="s">
        <v>0</v>
      </c>
      <c r="C2" s="738"/>
      <c r="D2" s="738"/>
      <c r="E2" s="738"/>
      <c r="F2" s="738"/>
      <c r="G2" s="738"/>
      <c r="H2" s="738"/>
      <c r="I2" s="738"/>
      <c r="J2" s="738"/>
      <c r="K2" s="738"/>
      <c r="L2" s="738"/>
      <c r="M2" s="738"/>
      <c r="N2" s="738"/>
      <c r="O2" s="738"/>
      <c r="P2" s="738"/>
      <c r="Q2" s="738"/>
      <c r="R2" s="738"/>
      <c r="S2" s="738"/>
      <c r="T2" s="738"/>
      <c r="U2" s="738"/>
      <c r="V2" s="738"/>
      <c r="W2" s="738"/>
    </row>
    <row r="4" ht="18.75" spans="2:23">
      <c r="B4" s="739" t="s">
        <v>412</v>
      </c>
      <c r="C4" s="739"/>
      <c r="D4" s="739"/>
      <c r="E4" s="739"/>
      <c r="F4" s="739"/>
      <c r="G4" s="739"/>
      <c r="H4" s="739"/>
      <c r="I4" s="739"/>
      <c r="J4" s="739"/>
      <c r="K4" s="739"/>
      <c r="L4" s="739"/>
      <c r="M4" s="739"/>
      <c r="N4" s="739"/>
      <c r="O4" s="739"/>
      <c r="P4" s="739"/>
      <c r="Q4" s="739"/>
      <c r="R4" s="739"/>
      <c r="S4" s="739"/>
      <c r="T4" s="739"/>
      <c r="U4" s="739"/>
      <c r="V4" s="739"/>
      <c r="W4" s="739"/>
    </row>
    <row r="6" spans="2:2">
      <c r="B6" t="s">
        <v>413</v>
      </c>
    </row>
    <row r="7" spans="2:4">
      <c r="B7" s="332" t="s">
        <v>414</v>
      </c>
      <c r="C7" s="786">
        <v>5.8</v>
      </c>
      <c r="D7" s="332" t="s">
        <v>415</v>
      </c>
    </row>
    <row r="8" spans="2:4">
      <c r="B8" s="787" t="s">
        <v>12</v>
      </c>
      <c r="C8" s="788">
        <v>80</v>
      </c>
      <c r="D8" s="789" t="s">
        <v>416</v>
      </c>
    </row>
    <row r="9" spans="2:4">
      <c r="B9" s="787" t="s">
        <v>417</v>
      </c>
      <c r="C9" s="788">
        <v>113.891538996764</v>
      </c>
      <c r="D9" s="789" t="s">
        <v>418</v>
      </c>
    </row>
    <row r="10" spans="2:4">
      <c r="B10" s="787" t="s">
        <v>419</v>
      </c>
      <c r="C10" s="788">
        <f>C9/C8</f>
        <v>1.42364423745955</v>
      </c>
      <c r="D10" s="789" t="s">
        <v>420</v>
      </c>
    </row>
    <row r="11" spans="2:4">
      <c r="B11" s="790" t="s">
        <v>421</v>
      </c>
      <c r="C11" s="786">
        <f>C7*C9</f>
        <v>660.57092618123</v>
      </c>
      <c r="D11" s="332" t="s">
        <v>422</v>
      </c>
    </row>
    <row r="12" spans="2:2">
      <c r="B12" s="320" t="s">
        <v>423</v>
      </c>
    </row>
    <row r="13" spans="2:2">
      <c r="B13" s="791"/>
    </row>
    <row r="14" spans="2:2">
      <c r="B14" t="s">
        <v>424</v>
      </c>
    </row>
    <row r="15" spans="2:4">
      <c r="B15" s="332" t="s">
        <v>414</v>
      </c>
      <c r="C15" s="786">
        <v>5.8</v>
      </c>
      <c r="D15" s="332" t="s">
        <v>415</v>
      </c>
    </row>
    <row r="16" spans="2:4">
      <c r="B16" s="787" t="s">
        <v>12</v>
      </c>
      <c r="C16" s="788">
        <v>48</v>
      </c>
      <c r="D16" s="789" t="s">
        <v>416</v>
      </c>
    </row>
    <row r="17" spans="2:4">
      <c r="B17" s="787" t="s">
        <v>417</v>
      </c>
      <c r="C17" s="788">
        <v>40</v>
      </c>
      <c r="D17" s="789" t="s">
        <v>418</v>
      </c>
    </row>
    <row r="18" spans="2:4">
      <c r="B18" s="787" t="s">
        <v>419</v>
      </c>
      <c r="C18" s="788">
        <f>C17/C16</f>
        <v>0.833333333333333</v>
      </c>
      <c r="D18" s="789" t="s">
        <v>425</v>
      </c>
    </row>
    <row r="19" spans="2:4">
      <c r="B19" s="792" t="s">
        <v>421</v>
      </c>
      <c r="C19" s="793">
        <f>+C17*C15</f>
        <v>232</v>
      </c>
      <c r="D19" s="794" t="s">
        <v>422</v>
      </c>
    </row>
    <row r="20" spans="2:2">
      <c r="B20" s="320" t="s">
        <v>423</v>
      </c>
    </row>
    <row r="21" spans="2:2">
      <c r="B21" s="320" t="s">
        <v>426</v>
      </c>
    </row>
    <row r="23" spans="2:2">
      <c r="B23" t="s">
        <v>427</v>
      </c>
    </row>
    <row r="24" spans="2:3">
      <c r="B24" s="332" t="s">
        <v>428</v>
      </c>
      <c r="C24" s="795">
        <v>365</v>
      </c>
    </row>
    <row r="25" spans="2:3">
      <c r="B25" s="789" t="s">
        <v>429</v>
      </c>
      <c r="C25" s="796">
        <f>+SUM(C26:C28)</f>
        <v>56</v>
      </c>
    </row>
    <row r="26" spans="2:3">
      <c r="B26" s="787" t="s">
        <v>430</v>
      </c>
      <c r="C26" s="796">
        <v>52</v>
      </c>
    </row>
    <row r="27" spans="2:3">
      <c r="B27" s="787" t="s">
        <v>431</v>
      </c>
      <c r="C27" s="796">
        <v>2</v>
      </c>
    </row>
    <row r="28" spans="2:3">
      <c r="B28" s="787" t="s">
        <v>432</v>
      </c>
      <c r="C28" s="796">
        <v>2</v>
      </c>
    </row>
    <row r="29" spans="2:3">
      <c r="B29" s="332" t="s">
        <v>433</v>
      </c>
      <c r="C29" s="795">
        <f>+C24-C25</f>
        <v>309</v>
      </c>
    </row>
    <row r="30" spans="2:3">
      <c r="B30" t="s">
        <v>423</v>
      </c>
      <c r="C30" s="797"/>
    </row>
    <row r="31" spans="3:3">
      <c r="C31" s="797"/>
    </row>
    <row r="32" spans="2:2">
      <c r="B32" t="s">
        <v>434</v>
      </c>
    </row>
    <row r="33" spans="2:4">
      <c r="B33" s="332" t="s">
        <v>414</v>
      </c>
      <c r="C33" s="786">
        <v>5.8</v>
      </c>
      <c r="D33" s="332" t="s">
        <v>415</v>
      </c>
    </row>
    <row r="34" spans="2:4">
      <c r="B34" s="787" t="s">
        <v>12</v>
      </c>
      <c r="C34" s="788">
        <f>+C16+C8</f>
        <v>128</v>
      </c>
      <c r="D34" s="789" t="s">
        <v>416</v>
      </c>
    </row>
    <row r="35" spans="2:4">
      <c r="B35" s="787" t="s">
        <v>417</v>
      </c>
      <c r="C35" s="788">
        <f>+C17+C9</f>
        <v>153.891538996764</v>
      </c>
      <c r="D35" s="789" t="s">
        <v>418</v>
      </c>
    </row>
    <row r="36" spans="2:5">
      <c r="B36" s="787" t="s">
        <v>419</v>
      </c>
      <c r="C36" s="788">
        <f>C35/C34</f>
        <v>1.20227764841222</v>
      </c>
      <c r="D36" s="789" t="s">
        <v>420</v>
      </c>
      <c r="E36" t="s">
        <v>435</v>
      </c>
    </row>
    <row r="37" spans="2:5">
      <c r="B37" s="792" t="s">
        <v>421</v>
      </c>
      <c r="C37" s="793">
        <f>+C19+C11</f>
        <v>892.57092618123</v>
      </c>
      <c r="D37" s="794" t="s">
        <v>422</v>
      </c>
      <c r="E37" s="323">
        <f>+C37/'III. Sit. Actual O-D'!L13</f>
        <v>0.945653021805315</v>
      </c>
    </row>
    <row r="38" spans="2:4">
      <c r="B38" s="798" t="s">
        <v>436</v>
      </c>
      <c r="C38" s="799">
        <f>+C37*C29</f>
        <v>275804.41619</v>
      </c>
      <c r="D38" s="180" t="s">
        <v>321</v>
      </c>
    </row>
    <row r="39" spans="2:2">
      <c r="B39" t="s">
        <v>423</v>
      </c>
    </row>
    <row r="41" ht="18.75" spans="2:23">
      <c r="B41" s="739" t="s">
        <v>437</v>
      </c>
      <c r="C41" s="739"/>
      <c r="D41" s="739"/>
      <c r="E41" s="739"/>
      <c r="F41" s="739"/>
      <c r="G41" s="739"/>
      <c r="H41" s="739"/>
      <c r="I41" s="739"/>
      <c r="J41" s="739"/>
      <c r="K41" s="739"/>
      <c r="L41" s="739"/>
      <c r="M41" s="739"/>
      <c r="N41" s="739"/>
      <c r="O41" s="739"/>
      <c r="P41" s="739"/>
      <c r="Q41" s="739"/>
      <c r="R41" s="739"/>
      <c r="S41" s="739"/>
      <c r="T41" s="739"/>
      <c r="U41" s="739"/>
      <c r="V41" s="739"/>
      <c r="W41" s="739"/>
    </row>
    <row r="43" spans="2:2">
      <c r="B43" t="s">
        <v>438</v>
      </c>
    </row>
    <row r="44" spans="2:4">
      <c r="B44" s="332" t="s">
        <v>414</v>
      </c>
      <c r="C44" s="786">
        <v>5.8</v>
      </c>
      <c r="D44" s="332" t="s">
        <v>415</v>
      </c>
    </row>
    <row r="45" spans="2:4">
      <c r="B45" s="787" t="s">
        <v>12</v>
      </c>
      <c r="C45" s="788">
        <v>80</v>
      </c>
      <c r="D45" s="789" t="s">
        <v>416</v>
      </c>
    </row>
    <row r="46" spans="2:4">
      <c r="B46" s="787" t="s">
        <v>417</v>
      </c>
      <c r="C46" s="788">
        <v>113.891538996764</v>
      </c>
      <c r="D46" s="789" t="s">
        <v>418</v>
      </c>
    </row>
    <row r="47" spans="2:4">
      <c r="B47" s="787" t="s">
        <v>419</v>
      </c>
      <c r="C47" s="788">
        <f>C46/C45</f>
        <v>1.42364423745955</v>
      </c>
      <c r="D47" s="789" t="s">
        <v>420</v>
      </c>
    </row>
    <row r="48" spans="2:4">
      <c r="B48" s="790" t="s">
        <v>421</v>
      </c>
      <c r="C48" s="786">
        <f>C44*C46</f>
        <v>660.57092618123</v>
      </c>
      <c r="D48" s="332" t="s">
        <v>422</v>
      </c>
    </row>
    <row r="49" spans="2:2">
      <c r="B49" s="320" t="s">
        <v>423</v>
      </c>
    </row>
    <row r="50" spans="2:2">
      <c r="B50" s="791"/>
    </row>
    <row r="51" spans="2:29">
      <c r="B51" t="s">
        <v>439</v>
      </c>
      <c r="I51" t="s">
        <v>439</v>
      </c>
      <c r="M51" t="s">
        <v>439</v>
      </c>
      <c r="Q51" t="s">
        <v>439</v>
      </c>
      <c r="U51" t="s">
        <v>439</v>
      </c>
      <c r="Y51" t="s">
        <v>439</v>
      </c>
      <c r="AC51" t="s">
        <v>439</v>
      </c>
    </row>
    <row r="52" spans="2:31">
      <c r="B52" s="332" t="s">
        <v>414</v>
      </c>
      <c r="C52" s="786">
        <v>5.8</v>
      </c>
      <c r="D52" s="332" t="s">
        <v>415</v>
      </c>
      <c r="I52" s="332" t="s">
        <v>414</v>
      </c>
      <c r="J52" s="786">
        <v>5.8</v>
      </c>
      <c r="K52" s="332" t="s">
        <v>415</v>
      </c>
      <c r="M52" s="332" t="s">
        <v>414</v>
      </c>
      <c r="N52" s="786">
        <v>5.8</v>
      </c>
      <c r="O52" s="332" t="s">
        <v>415</v>
      </c>
      <c r="Q52" s="332" t="s">
        <v>414</v>
      </c>
      <c r="R52" s="786">
        <v>5.8</v>
      </c>
      <c r="S52" s="332" t="s">
        <v>415</v>
      </c>
      <c r="U52" s="332" t="s">
        <v>414</v>
      </c>
      <c r="V52" s="786">
        <v>5.8</v>
      </c>
      <c r="W52" s="332" t="s">
        <v>415</v>
      </c>
      <c r="Y52" s="332" t="s">
        <v>414</v>
      </c>
      <c r="Z52" s="786">
        <v>5.8</v>
      </c>
      <c r="AA52" s="332" t="s">
        <v>415</v>
      </c>
      <c r="AC52" s="332" t="s">
        <v>414</v>
      </c>
      <c r="AD52" s="786">
        <v>5.8</v>
      </c>
      <c r="AE52" s="332" t="s">
        <v>415</v>
      </c>
    </row>
    <row r="53" spans="2:31">
      <c r="B53" s="787" t="s">
        <v>12</v>
      </c>
      <c r="C53" s="788">
        <v>48</v>
      </c>
      <c r="D53" s="789" t="s">
        <v>416</v>
      </c>
      <c r="I53" s="787" t="s">
        <v>12</v>
      </c>
      <c r="J53" s="788">
        <v>48</v>
      </c>
      <c r="K53" s="789" t="s">
        <v>416</v>
      </c>
      <c r="M53" s="787" t="s">
        <v>12</v>
      </c>
      <c r="N53" s="788">
        <v>48</v>
      </c>
      <c r="O53" s="789" t="s">
        <v>416</v>
      </c>
      <c r="Q53" s="787" t="s">
        <v>12</v>
      </c>
      <c r="R53" s="788">
        <v>48</v>
      </c>
      <c r="S53" s="789" t="s">
        <v>416</v>
      </c>
      <c r="U53" s="787" t="s">
        <v>12</v>
      </c>
      <c r="V53" s="788">
        <v>48</v>
      </c>
      <c r="W53" s="789" t="s">
        <v>416</v>
      </c>
      <c r="Y53" s="787" t="s">
        <v>12</v>
      </c>
      <c r="Z53" s="788">
        <v>48</v>
      </c>
      <c r="AA53" s="789" t="s">
        <v>416</v>
      </c>
      <c r="AC53" s="787" t="s">
        <v>12</v>
      </c>
      <c r="AD53" s="788">
        <v>48</v>
      </c>
      <c r="AE53" s="789" t="s">
        <v>416</v>
      </c>
    </row>
    <row r="54" spans="2:31">
      <c r="B54" s="787" t="s">
        <v>417</v>
      </c>
      <c r="C54" s="788">
        <v>49</v>
      </c>
      <c r="D54" s="789" t="s">
        <v>418</v>
      </c>
      <c r="E54" t="s">
        <v>440</v>
      </c>
      <c r="I54" s="787" t="s">
        <v>417</v>
      </c>
      <c r="J54" s="788">
        <v>50</v>
      </c>
      <c r="K54" s="789" t="s">
        <v>418</v>
      </c>
      <c r="M54" s="787" t="s">
        <v>417</v>
      </c>
      <c r="N54" s="788">
        <v>51</v>
      </c>
      <c r="O54" s="789" t="s">
        <v>418</v>
      </c>
      <c r="Q54" s="787" t="s">
        <v>417</v>
      </c>
      <c r="R54" s="788">
        <v>52</v>
      </c>
      <c r="S54" s="789" t="s">
        <v>418</v>
      </c>
      <c r="U54" s="787" t="s">
        <v>417</v>
      </c>
      <c r="V54" s="788">
        <v>53</v>
      </c>
      <c r="W54" s="789" t="s">
        <v>418</v>
      </c>
      <c r="Y54" s="787" t="s">
        <v>417</v>
      </c>
      <c r="Z54" s="788">
        <v>54</v>
      </c>
      <c r="AA54" s="789" t="s">
        <v>418</v>
      </c>
      <c r="AC54" s="787" t="s">
        <v>417</v>
      </c>
      <c r="AD54" s="788">
        <v>55</v>
      </c>
      <c r="AE54" s="789" t="s">
        <v>418</v>
      </c>
    </row>
    <row r="55" spans="2:31">
      <c r="B55" s="787" t="s">
        <v>419</v>
      </c>
      <c r="C55" s="788">
        <f>C54/C53</f>
        <v>1.02083333333333</v>
      </c>
      <c r="D55" s="789" t="s">
        <v>425</v>
      </c>
      <c r="I55" s="787" t="s">
        <v>419</v>
      </c>
      <c r="J55" s="788">
        <f>J54/J53</f>
        <v>1.04166666666667</v>
      </c>
      <c r="K55" s="789" t="s">
        <v>425</v>
      </c>
      <c r="M55" s="787" t="s">
        <v>419</v>
      </c>
      <c r="N55" s="788">
        <f>N54/N53</f>
        <v>1.0625</v>
      </c>
      <c r="O55" s="789" t="s">
        <v>425</v>
      </c>
      <c r="Q55" s="787" t="s">
        <v>419</v>
      </c>
      <c r="R55" s="788">
        <f>R54/R53</f>
        <v>1.08333333333333</v>
      </c>
      <c r="S55" s="789" t="s">
        <v>425</v>
      </c>
      <c r="U55" s="787" t="s">
        <v>419</v>
      </c>
      <c r="V55" s="788">
        <f>V54/V53</f>
        <v>1.10416666666667</v>
      </c>
      <c r="W55" s="789" t="s">
        <v>425</v>
      </c>
      <c r="Y55" s="787" t="s">
        <v>419</v>
      </c>
      <c r="Z55" s="788">
        <f>Z54/Z53</f>
        <v>1.125</v>
      </c>
      <c r="AA55" s="789" t="s">
        <v>425</v>
      </c>
      <c r="AC55" s="787" t="s">
        <v>419</v>
      </c>
      <c r="AD55" s="788">
        <f>AD54/AD53</f>
        <v>1.14583333333333</v>
      </c>
      <c r="AE55" s="789" t="s">
        <v>425</v>
      </c>
    </row>
    <row r="56" spans="2:31">
      <c r="B56" s="792" t="s">
        <v>421</v>
      </c>
      <c r="C56" s="793">
        <f>+C54*C52</f>
        <v>284.2</v>
      </c>
      <c r="D56" s="794" t="s">
        <v>422</v>
      </c>
      <c r="I56" s="792" t="s">
        <v>421</v>
      </c>
      <c r="J56" s="793">
        <f>+J54*J52</f>
        <v>290</v>
      </c>
      <c r="K56" s="794" t="s">
        <v>422</v>
      </c>
      <c r="M56" s="792" t="s">
        <v>421</v>
      </c>
      <c r="N56" s="793">
        <f>+N54*N52</f>
        <v>295.8</v>
      </c>
      <c r="O56" s="794" t="s">
        <v>422</v>
      </c>
      <c r="Q56" s="792" t="s">
        <v>421</v>
      </c>
      <c r="R56" s="793">
        <f>+R54*R52</f>
        <v>301.6</v>
      </c>
      <c r="S56" s="794" t="s">
        <v>422</v>
      </c>
      <c r="U56" s="792" t="s">
        <v>421</v>
      </c>
      <c r="V56" s="793">
        <f>+V54*V52</f>
        <v>307.4</v>
      </c>
      <c r="W56" s="794" t="s">
        <v>422</v>
      </c>
      <c r="Y56" s="792" t="s">
        <v>421</v>
      </c>
      <c r="Z56" s="793">
        <f>+Z54*Z52</f>
        <v>313.2</v>
      </c>
      <c r="AA56" s="794" t="s">
        <v>422</v>
      </c>
      <c r="AC56" s="792" t="s">
        <v>421</v>
      </c>
      <c r="AD56" s="793">
        <f>+AD54*AD52</f>
        <v>319</v>
      </c>
      <c r="AE56" s="794" t="s">
        <v>422</v>
      </c>
    </row>
    <row r="57" spans="2:29">
      <c r="B57" s="320" t="s">
        <v>423</v>
      </c>
      <c r="I57" s="320" t="s">
        <v>423</v>
      </c>
      <c r="M57" s="320" t="s">
        <v>423</v>
      </c>
      <c r="Q57" s="320" t="s">
        <v>423</v>
      </c>
      <c r="U57" s="320" t="s">
        <v>423</v>
      </c>
      <c r="Y57" s="320" t="s">
        <v>423</v>
      </c>
      <c r="AC57" s="320" t="s">
        <v>423</v>
      </c>
    </row>
    <row r="58" spans="2:29">
      <c r="B58" s="320" t="s">
        <v>441</v>
      </c>
      <c r="I58" s="320" t="s">
        <v>441</v>
      </c>
      <c r="M58" s="320" t="s">
        <v>441</v>
      </c>
      <c r="Q58" s="320" t="s">
        <v>441</v>
      </c>
      <c r="U58" s="320" t="s">
        <v>441</v>
      </c>
      <c r="Y58" s="320" t="s">
        <v>441</v>
      </c>
      <c r="AC58" s="320" t="s">
        <v>441</v>
      </c>
    </row>
    <row r="60" spans="2:29">
      <c r="B60" t="s">
        <v>442</v>
      </c>
      <c r="I60" t="s">
        <v>442</v>
      </c>
      <c r="M60" t="s">
        <v>442</v>
      </c>
      <c r="Q60" t="s">
        <v>442</v>
      </c>
      <c r="U60" t="s">
        <v>442</v>
      </c>
      <c r="Y60" t="s">
        <v>442</v>
      </c>
      <c r="AC60" t="s">
        <v>442</v>
      </c>
    </row>
    <row r="61" spans="2:31">
      <c r="B61" s="332" t="s">
        <v>414</v>
      </c>
      <c r="C61" s="786">
        <v>5.8</v>
      </c>
      <c r="D61" s="332" t="s">
        <v>415</v>
      </c>
      <c r="I61" s="332" t="s">
        <v>414</v>
      </c>
      <c r="J61" s="786">
        <v>5.8</v>
      </c>
      <c r="K61" s="332" t="s">
        <v>415</v>
      </c>
      <c r="M61" s="332" t="s">
        <v>414</v>
      </c>
      <c r="N61" s="786">
        <v>5.8</v>
      </c>
      <c r="O61" s="332" t="s">
        <v>415</v>
      </c>
      <c r="Q61" s="332" t="s">
        <v>414</v>
      </c>
      <c r="R61" s="786">
        <v>5.8</v>
      </c>
      <c r="S61" s="332" t="s">
        <v>415</v>
      </c>
      <c r="U61" s="332" t="s">
        <v>414</v>
      </c>
      <c r="V61" s="786">
        <v>5.8</v>
      </c>
      <c r="W61" s="332" t="s">
        <v>415</v>
      </c>
      <c r="Y61" s="332" t="s">
        <v>414</v>
      </c>
      <c r="Z61" s="786">
        <v>5.8</v>
      </c>
      <c r="AA61" s="332" t="s">
        <v>415</v>
      </c>
      <c r="AC61" s="332" t="s">
        <v>414</v>
      </c>
      <c r="AD61" s="786">
        <v>5.8</v>
      </c>
      <c r="AE61" s="332" t="s">
        <v>415</v>
      </c>
    </row>
    <row r="62" spans="2:31">
      <c r="B62" s="787" t="s">
        <v>12</v>
      </c>
      <c r="C62" s="788">
        <f>+C53+C45</f>
        <v>128</v>
      </c>
      <c r="D62" s="789" t="s">
        <v>416</v>
      </c>
      <c r="I62" s="787" t="s">
        <v>12</v>
      </c>
      <c r="J62" s="788">
        <f t="shared" ref="J62" si="0">+J53+J45</f>
        <v>48</v>
      </c>
      <c r="K62" s="789" t="s">
        <v>416</v>
      </c>
      <c r="M62" s="787" t="s">
        <v>12</v>
      </c>
      <c r="N62" s="788">
        <f t="shared" ref="N62" si="1">+N53+N45</f>
        <v>48</v>
      </c>
      <c r="O62" s="789" t="s">
        <v>416</v>
      </c>
      <c r="Q62" s="787" t="s">
        <v>12</v>
      </c>
      <c r="R62" s="788">
        <f t="shared" ref="R62" si="2">+R53+R45</f>
        <v>48</v>
      </c>
      <c r="S62" s="789" t="s">
        <v>416</v>
      </c>
      <c r="U62" s="787" t="s">
        <v>12</v>
      </c>
      <c r="V62" s="788">
        <f t="shared" ref="V62" si="3">+V53+V45</f>
        <v>48</v>
      </c>
      <c r="W62" s="789" t="s">
        <v>416</v>
      </c>
      <c r="Y62" s="787" t="s">
        <v>12</v>
      </c>
      <c r="Z62" s="788">
        <f t="shared" ref="Z62" si="4">+Z53+Z45</f>
        <v>48</v>
      </c>
      <c r="AA62" s="789" t="s">
        <v>416</v>
      </c>
      <c r="AC62" s="787" t="s">
        <v>12</v>
      </c>
      <c r="AD62" s="788">
        <f t="shared" ref="AD62" si="5">+AD53+AD45</f>
        <v>48</v>
      </c>
      <c r="AE62" s="789" t="s">
        <v>416</v>
      </c>
    </row>
    <row r="63" spans="2:31">
      <c r="B63" s="787" t="s">
        <v>417</v>
      </c>
      <c r="C63" s="788">
        <f>+C54+C46</f>
        <v>162.891538996764</v>
      </c>
      <c r="D63" s="789" t="s">
        <v>418</v>
      </c>
      <c r="I63" s="787" t="s">
        <v>417</v>
      </c>
      <c r="J63" s="788">
        <f t="shared" ref="J63" si="6">+J54+J46</f>
        <v>50</v>
      </c>
      <c r="K63" s="789" t="s">
        <v>418</v>
      </c>
      <c r="M63" s="787" t="s">
        <v>417</v>
      </c>
      <c r="N63" s="788">
        <f t="shared" ref="N63" si="7">+N54+N46</f>
        <v>51</v>
      </c>
      <c r="O63" s="789" t="s">
        <v>418</v>
      </c>
      <c r="Q63" s="787" t="s">
        <v>417</v>
      </c>
      <c r="R63" s="788">
        <f t="shared" ref="R63" si="8">+R54+R46</f>
        <v>52</v>
      </c>
      <c r="S63" s="789" t="s">
        <v>418</v>
      </c>
      <c r="U63" s="787" t="s">
        <v>417</v>
      </c>
      <c r="V63" s="788">
        <f t="shared" ref="V63" si="9">+V54+V46</f>
        <v>53</v>
      </c>
      <c r="W63" s="789" t="s">
        <v>418</v>
      </c>
      <c r="Y63" s="787" t="s">
        <v>417</v>
      </c>
      <c r="Z63" s="788">
        <f t="shared" ref="Z63" si="10">+Z54+Z46</f>
        <v>54</v>
      </c>
      <c r="AA63" s="789" t="s">
        <v>418</v>
      </c>
      <c r="AC63" s="787" t="s">
        <v>417</v>
      </c>
      <c r="AD63" s="788">
        <f t="shared" ref="AD63" si="11">+AD54+AD46</f>
        <v>55</v>
      </c>
      <c r="AE63" s="789" t="s">
        <v>418</v>
      </c>
    </row>
    <row r="64" spans="2:32">
      <c r="B64" s="787" t="s">
        <v>419</v>
      </c>
      <c r="C64" s="788">
        <f>C63/C62</f>
        <v>1.27259014841222</v>
      </c>
      <c r="D64" s="789" t="s">
        <v>420</v>
      </c>
      <c r="E64" t="s">
        <v>435</v>
      </c>
      <c r="I64" s="787" t="s">
        <v>419</v>
      </c>
      <c r="J64" s="788">
        <f t="shared" ref="J64" si="12">J63/J62</f>
        <v>1.04166666666667</v>
      </c>
      <c r="K64" s="789" t="s">
        <v>420</v>
      </c>
      <c r="L64" t="s">
        <v>435</v>
      </c>
      <c r="M64" s="787" t="s">
        <v>419</v>
      </c>
      <c r="N64" s="788">
        <f t="shared" ref="N64" si="13">N63/N62</f>
        <v>1.0625</v>
      </c>
      <c r="O64" s="789" t="s">
        <v>420</v>
      </c>
      <c r="P64" t="s">
        <v>435</v>
      </c>
      <c r="Q64" s="787" t="s">
        <v>419</v>
      </c>
      <c r="R64" s="788">
        <f t="shared" ref="R64" si="14">R63/R62</f>
        <v>1.08333333333333</v>
      </c>
      <c r="S64" s="789" t="s">
        <v>420</v>
      </c>
      <c r="T64" t="s">
        <v>435</v>
      </c>
      <c r="U64" s="787" t="s">
        <v>419</v>
      </c>
      <c r="V64" s="788">
        <f t="shared" ref="V64" si="15">V63/V62</f>
        <v>1.10416666666667</v>
      </c>
      <c r="W64" s="789" t="s">
        <v>420</v>
      </c>
      <c r="X64" t="s">
        <v>435</v>
      </c>
      <c r="Y64" s="787" t="s">
        <v>419</v>
      </c>
      <c r="Z64" s="788">
        <f t="shared" ref="Z64" si="16">Z63/Z62</f>
        <v>1.125</v>
      </c>
      <c r="AA64" s="789" t="s">
        <v>420</v>
      </c>
      <c r="AB64" t="s">
        <v>435</v>
      </c>
      <c r="AC64" s="787" t="s">
        <v>419</v>
      </c>
      <c r="AD64" s="788">
        <f t="shared" ref="AD64" si="17">AD63/AD62</f>
        <v>1.14583333333333</v>
      </c>
      <c r="AE64" s="789" t="s">
        <v>420</v>
      </c>
      <c r="AF64" t="s">
        <v>435</v>
      </c>
    </row>
    <row r="65" spans="2:32">
      <c r="B65" s="792" t="s">
        <v>421</v>
      </c>
      <c r="C65" s="793">
        <f>+C48+C56</f>
        <v>944.77092618123</v>
      </c>
      <c r="D65" s="794" t="s">
        <v>422</v>
      </c>
      <c r="E65" s="323">
        <f>+C65/'III. Sit. Actual O-D'!$L$13</f>
        <v>1.00095740859442</v>
      </c>
      <c r="I65" s="792" t="s">
        <v>421</v>
      </c>
      <c r="J65" s="793">
        <f>+$C$48+J56</f>
        <v>950.57092618123</v>
      </c>
      <c r="K65" s="794" t="s">
        <v>422</v>
      </c>
      <c r="L65" s="323">
        <f>+J65/'III. Sit. Actual O-D'!$L$13</f>
        <v>1.00710234045988</v>
      </c>
      <c r="M65" s="792" t="s">
        <v>421</v>
      </c>
      <c r="N65" s="793">
        <f>+$C$48+N56</f>
        <v>956.37092618123</v>
      </c>
      <c r="O65" s="794" t="s">
        <v>422</v>
      </c>
      <c r="P65" s="323">
        <f>+N65/'III. Sit. Actual O-D'!$L$13</f>
        <v>1.01324727232533</v>
      </c>
      <c r="Q65" s="792" t="s">
        <v>421</v>
      </c>
      <c r="R65" s="793">
        <f>+$C$48+R56</f>
        <v>962.17092618123</v>
      </c>
      <c r="S65" s="794" t="s">
        <v>422</v>
      </c>
      <c r="T65" s="323">
        <f>+R65/'III. Sit. Actual O-D'!$L$13</f>
        <v>1.01939220419079</v>
      </c>
      <c r="U65" s="792" t="s">
        <v>421</v>
      </c>
      <c r="V65" s="793">
        <f>+$C$48+V56</f>
        <v>967.97092618123</v>
      </c>
      <c r="W65" s="794" t="s">
        <v>422</v>
      </c>
      <c r="X65" s="323">
        <f>+V65/'III. Sit. Actual O-D'!$L$13</f>
        <v>1.02553713605625</v>
      </c>
      <c r="Y65" s="792" t="s">
        <v>421</v>
      </c>
      <c r="Z65" s="793">
        <f>+$C$48+Z56</f>
        <v>973.77092618123</v>
      </c>
      <c r="AA65" s="794" t="s">
        <v>422</v>
      </c>
      <c r="AB65" s="323">
        <f>+Z65/'III. Sit. Actual O-D'!$L$13</f>
        <v>1.0316820679217</v>
      </c>
      <c r="AC65" s="792" t="s">
        <v>421</v>
      </c>
      <c r="AD65" s="793">
        <f>+$C$48+AD56</f>
        <v>979.57092618123</v>
      </c>
      <c r="AE65" s="794" t="s">
        <v>422</v>
      </c>
      <c r="AF65" s="323">
        <f>+AD65/'III. Sit. Actual O-D'!$L$13</f>
        <v>1.03782699978716</v>
      </c>
    </row>
    <row r="66" spans="2:31">
      <c r="B66" s="798" t="s">
        <v>436</v>
      </c>
      <c r="C66" s="799">
        <f>+C65*$C$29</f>
        <v>291934.21619</v>
      </c>
      <c r="D66" s="180" t="s">
        <v>321</v>
      </c>
      <c r="I66" s="798" t="s">
        <v>436</v>
      </c>
      <c r="J66" s="799">
        <f>+J65*$C$29</f>
        <v>293726.41619</v>
      </c>
      <c r="K66" s="180" t="s">
        <v>321</v>
      </c>
      <c r="M66" s="798" t="s">
        <v>436</v>
      </c>
      <c r="N66" s="799">
        <f>+N65*$C$29</f>
        <v>295518.61619</v>
      </c>
      <c r="O66" s="180" t="s">
        <v>321</v>
      </c>
      <c r="Q66" s="798" t="s">
        <v>436</v>
      </c>
      <c r="R66" s="799">
        <f>+R65*$C$29</f>
        <v>297310.81619</v>
      </c>
      <c r="S66" s="180" t="s">
        <v>321</v>
      </c>
      <c r="U66" s="798" t="s">
        <v>436</v>
      </c>
      <c r="V66" s="799">
        <f>+V65*$C$29</f>
        <v>299103.01619</v>
      </c>
      <c r="W66" s="180" t="s">
        <v>321</v>
      </c>
      <c r="Y66" s="798" t="s">
        <v>436</v>
      </c>
      <c r="Z66" s="799">
        <f>+Z65*$C$29</f>
        <v>300895.21619</v>
      </c>
      <c r="AA66" s="180" t="s">
        <v>321</v>
      </c>
      <c r="AC66" s="798" t="s">
        <v>436</v>
      </c>
      <c r="AD66" s="799">
        <f>+AD65*$C$29</f>
        <v>302687.41619</v>
      </c>
      <c r="AE66" s="180" t="s">
        <v>321</v>
      </c>
    </row>
    <row r="67" spans="2:29">
      <c r="B67" t="s">
        <v>423</v>
      </c>
      <c r="I67" t="s">
        <v>423</v>
      </c>
      <c r="M67" t="s">
        <v>423</v>
      </c>
      <c r="Q67" t="s">
        <v>423</v>
      </c>
      <c r="U67" t="s">
        <v>423</v>
      </c>
      <c r="Y67" t="s">
        <v>423</v>
      </c>
      <c r="AC67" t="s">
        <v>423</v>
      </c>
    </row>
    <row r="69" ht="18.75" spans="2:23">
      <c r="B69" s="739" t="s">
        <v>443</v>
      </c>
      <c r="C69" s="739"/>
      <c r="D69" s="739"/>
      <c r="E69" s="739"/>
      <c r="F69" s="739"/>
      <c r="G69" s="739"/>
      <c r="H69" s="739"/>
      <c r="I69" s="739"/>
      <c r="J69" s="739"/>
      <c r="K69" s="739"/>
      <c r="L69" s="739"/>
      <c r="M69" s="739"/>
      <c r="N69" s="739"/>
      <c r="O69" s="739"/>
      <c r="P69" s="739"/>
      <c r="Q69" s="739"/>
      <c r="R69" s="739"/>
      <c r="S69" s="739"/>
      <c r="T69" s="739"/>
      <c r="U69" s="739"/>
      <c r="V69" s="739"/>
      <c r="W69" s="739"/>
    </row>
    <row r="71" spans="2:2">
      <c r="B71" s="177" t="s">
        <v>444</v>
      </c>
    </row>
    <row r="72" ht="15.75" spans="2:6">
      <c r="B72" s="752" t="s">
        <v>10</v>
      </c>
      <c r="C72" s="752" t="s">
        <v>12</v>
      </c>
      <c r="D72" s="753" t="s">
        <v>445</v>
      </c>
      <c r="E72" s="752" t="s">
        <v>446</v>
      </c>
      <c r="F72" s="752" t="s">
        <v>447</v>
      </c>
    </row>
    <row r="73" spans="2:6">
      <c r="B73" s="195" t="s">
        <v>448</v>
      </c>
      <c r="C73" s="209">
        <v>10</v>
      </c>
      <c r="D73" s="800">
        <v>5525168.03448276</v>
      </c>
      <c r="E73" s="800">
        <f>+C73*D73</f>
        <v>55251680.3448276</v>
      </c>
      <c r="F73" s="800">
        <f>+E73*1.16</f>
        <v>64091949.2</v>
      </c>
    </row>
    <row r="74" spans="2:2">
      <c r="B74" t="s">
        <v>449</v>
      </c>
    </row>
    <row r="77" spans="2:2">
      <c r="B77" t="s">
        <v>450</v>
      </c>
    </row>
    <row r="78" ht="31.5" spans="2:4">
      <c r="B78" s="753" t="s">
        <v>10</v>
      </c>
      <c r="C78" s="753" t="s">
        <v>451</v>
      </c>
      <c r="D78" s="753" t="s">
        <v>447</v>
      </c>
    </row>
    <row r="79" ht="30" spans="2:4">
      <c r="B79" s="801" t="s">
        <v>452</v>
      </c>
      <c r="C79" s="653">
        <v>107586.206896552</v>
      </c>
      <c r="D79" s="653">
        <f>+C79*1.16</f>
        <v>124800</v>
      </c>
    </row>
    <row r="80" spans="2:4">
      <c r="B80" s="789" t="s">
        <v>453</v>
      </c>
      <c r="C80" s="802">
        <f>+SUM(C81:C82)</f>
        <v>476060.974137931</v>
      </c>
      <c r="D80" s="802">
        <f>+SUM(D81:D82)</f>
        <v>552230.73</v>
      </c>
    </row>
    <row r="81" spans="2:4">
      <c r="B81" s="803" t="s">
        <v>454</v>
      </c>
      <c r="C81" s="341">
        <v>84315.5086206897</v>
      </c>
      <c r="D81" s="341">
        <f>+C81*1.16</f>
        <v>97805.99</v>
      </c>
    </row>
    <row r="82" spans="2:4">
      <c r="B82" s="803" t="s">
        <v>455</v>
      </c>
      <c r="C82" s="341">
        <v>391745.465517241</v>
      </c>
      <c r="D82" s="341">
        <f>+C82*1.16</f>
        <v>454424.74</v>
      </c>
    </row>
    <row r="83" spans="2:4">
      <c r="B83" s="195" t="s">
        <v>456</v>
      </c>
      <c r="C83" s="341">
        <v>27586.2068965517</v>
      </c>
      <c r="D83" s="341">
        <f>+C83*1.16</f>
        <v>32000</v>
      </c>
    </row>
    <row r="84" spans="2:4">
      <c r="B84" s="804" t="s">
        <v>170</v>
      </c>
      <c r="C84" s="805">
        <f>+C79+C80+C83</f>
        <v>611233.387931035</v>
      </c>
      <c r="D84" s="805">
        <f>+D79+D80+D83</f>
        <v>709030.73</v>
      </c>
    </row>
    <row r="85" spans="2:2">
      <c r="B85" t="s">
        <v>449</v>
      </c>
    </row>
    <row r="87" spans="2:2">
      <c r="B87" t="s">
        <v>457</v>
      </c>
    </row>
    <row r="88" spans="2:14">
      <c r="B88" s="806" t="s">
        <v>458</v>
      </c>
      <c r="C88" s="807">
        <v>44927</v>
      </c>
      <c r="D88" s="807">
        <v>44958</v>
      </c>
      <c r="E88" s="807">
        <v>44986</v>
      </c>
      <c r="F88" s="807">
        <v>45017</v>
      </c>
      <c r="G88" s="807">
        <v>45047</v>
      </c>
      <c r="H88" s="807">
        <v>45078</v>
      </c>
      <c r="I88" s="807">
        <v>45108</v>
      </c>
      <c r="J88" s="807">
        <v>45139</v>
      </c>
      <c r="K88" s="807">
        <v>45170</v>
      </c>
      <c r="L88" s="807">
        <v>45200</v>
      </c>
      <c r="M88" s="807">
        <v>45231</v>
      </c>
      <c r="N88" s="807">
        <v>45261</v>
      </c>
    </row>
    <row r="89" spans="2:14">
      <c r="B89" s="195" t="s">
        <v>459</v>
      </c>
      <c r="C89" s="198"/>
      <c r="D89" s="198"/>
      <c r="E89" s="198"/>
      <c r="F89" s="198"/>
      <c r="G89" s="195"/>
      <c r="H89" s="195"/>
      <c r="I89" s="195"/>
      <c r="J89" s="195"/>
      <c r="K89" s="195"/>
      <c r="L89" s="195"/>
      <c r="M89" s="195"/>
      <c r="N89" s="195"/>
    </row>
    <row r="90" spans="2:14">
      <c r="B90" s="195" t="s">
        <v>460</v>
      </c>
      <c r="C90" s="195"/>
      <c r="D90" s="195"/>
      <c r="E90" s="195"/>
      <c r="F90" s="195"/>
      <c r="G90" s="198"/>
      <c r="H90" s="198"/>
      <c r="I90" s="198"/>
      <c r="J90" s="198"/>
      <c r="K90" s="195"/>
      <c r="L90" s="195"/>
      <c r="M90" s="195"/>
      <c r="N90" s="195"/>
    </row>
    <row r="91" spans="2:2">
      <c r="B91" t="s">
        <v>423</v>
      </c>
    </row>
  </sheetData>
  <mergeCells count="4">
    <mergeCell ref="B2:W2"/>
    <mergeCell ref="B4:W4"/>
    <mergeCell ref="B41:W41"/>
    <mergeCell ref="B69:W69"/>
  </mergeCells>
  <pageMargins left="0.7" right="0.7" top="0.75" bottom="0.75" header="0.3" footer="0.3"/>
  <pageSetup paperSize="1" orientation="portrait"/>
  <headerFooter/>
  <ignoredErrors>
    <ignoredError sqref="C36" formula="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249977111117893"/>
  </sheetPr>
  <dimension ref="A2:W238"/>
  <sheetViews>
    <sheetView zoomScale="80" zoomScaleNormal="80" workbookViewId="0">
      <selection activeCell="C12" sqref="C12"/>
    </sheetView>
  </sheetViews>
  <sheetFormatPr defaultColWidth="8.66666666666667" defaultRowHeight="15"/>
  <cols>
    <col min="1" max="1" width="3.33333333333333" customWidth="1"/>
    <col min="2" max="2" width="15.6666666666667" customWidth="1"/>
    <col min="3" max="3" width="12.3333333333333" customWidth="1"/>
    <col min="4" max="4" width="14.1047619047619" customWidth="1"/>
    <col min="5" max="6" width="12.3333333333333" customWidth="1"/>
    <col min="7" max="7" width="11.6666666666667" customWidth="1"/>
    <col min="8" max="8" width="11.552380952381" customWidth="1"/>
    <col min="9" max="9" width="10.552380952381" customWidth="1"/>
    <col min="10" max="10" width="9.55238095238095" customWidth="1"/>
    <col min="11" max="11" width="11.6666666666667" customWidth="1"/>
    <col min="12" max="12" width="11.552380952381" customWidth="1"/>
    <col min="13" max="13" width="18" customWidth="1"/>
    <col min="14" max="14" width="20.3333333333333" customWidth="1"/>
    <col min="15" max="15" width="14.6666666666667" customWidth="1"/>
    <col min="18" max="18" width="12.3333333333333" customWidth="1"/>
    <col min="19" max="19" width="9.55238095238095" customWidth="1"/>
    <col min="20" max="20" width="9.66666666666667" customWidth="1"/>
    <col min="21" max="21" width="9.55238095238095" customWidth="1"/>
    <col min="23" max="23" width="10.1047619047619" customWidth="1"/>
  </cols>
  <sheetData>
    <row r="2" ht="21" customHeight="1" spans="2:23">
      <c r="B2" s="738" t="s">
        <v>0</v>
      </c>
      <c r="C2" s="738"/>
      <c r="D2" s="738"/>
      <c r="E2" s="738"/>
      <c r="F2" s="738"/>
      <c r="G2" s="738"/>
      <c r="H2" s="738"/>
      <c r="I2" s="738"/>
      <c r="J2" s="738"/>
      <c r="K2" s="738"/>
      <c r="L2" s="738"/>
      <c r="M2" s="738"/>
      <c r="N2" s="738"/>
      <c r="O2" s="738"/>
      <c r="P2" s="738"/>
      <c r="Q2" s="738"/>
      <c r="R2" s="738"/>
      <c r="S2" s="738"/>
      <c r="T2" s="738"/>
      <c r="U2" s="738"/>
      <c r="V2" s="738"/>
      <c r="W2" s="738"/>
    </row>
    <row r="3" ht="10.2" customHeight="1" spans="2:21">
      <c r="B3" s="179"/>
      <c r="C3" s="179"/>
      <c r="D3" s="179"/>
      <c r="E3" s="179"/>
      <c r="F3" s="179"/>
      <c r="G3" s="179"/>
      <c r="H3" s="179"/>
      <c r="I3" s="179"/>
      <c r="J3" s="179"/>
      <c r="K3" s="179"/>
      <c r="L3" s="179"/>
      <c r="M3" s="179"/>
      <c r="N3" s="179"/>
      <c r="O3" s="179"/>
      <c r="P3" s="179"/>
      <c r="Q3" s="179"/>
      <c r="R3" s="179"/>
      <c r="S3" s="179"/>
      <c r="T3" s="179"/>
      <c r="U3" s="179"/>
    </row>
    <row r="4" ht="21" customHeight="1" spans="2:23">
      <c r="B4" s="739" t="s">
        <v>461</v>
      </c>
      <c r="C4" s="739"/>
      <c r="D4" s="739"/>
      <c r="E4" s="739"/>
      <c r="F4" s="739"/>
      <c r="G4" s="739"/>
      <c r="H4" s="739"/>
      <c r="I4" s="739"/>
      <c r="J4" s="739"/>
      <c r="K4" s="739"/>
      <c r="L4" s="739"/>
      <c r="M4" s="739"/>
      <c r="N4" s="739"/>
      <c r="O4" s="739"/>
      <c r="P4" s="739"/>
      <c r="Q4" s="739"/>
      <c r="R4" s="739"/>
      <c r="S4" s="739"/>
      <c r="T4" s="739"/>
      <c r="U4" s="739"/>
      <c r="V4" s="739"/>
      <c r="W4" s="739"/>
    </row>
    <row r="6" ht="15.75" spans="2:23">
      <c r="B6" s="751" t="s">
        <v>462</v>
      </c>
      <c r="C6" s="751"/>
      <c r="D6" s="751"/>
      <c r="E6" s="751"/>
      <c r="F6" s="751"/>
      <c r="G6" s="751"/>
      <c r="H6" s="751"/>
      <c r="I6" s="751"/>
      <c r="J6" s="751"/>
      <c r="K6" s="751"/>
      <c r="L6" s="751"/>
      <c r="M6" s="751"/>
      <c r="N6" s="751"/>
      <c r="O6" s="751"/>
      <c r="P6" s="751"/>
      <c r="Q6" s="751"/>
      <c r="R6" s="751"/>
      <c r="S6" s="751"/>
      <c r="T6" s="751"/>
      <c r="U6" s="751"/>
      <c r="V6" s="751"/>
      <c r="W6" s="751"/>
    </row>
    <row r="7" ht="15.75" spans="2:23">
      <c r="B7" s="528"/>
      <c r="C7" s="528"/>
      <c r="D7" s="528"/>
      <c r="E7" s="528"/>
      <c r="F7" s="528"/>
      <c r="G7" s="528"/>
      <c r="H7" s="528"/>
      <c r="I7" s="528"/>
      <c r="J7" s="528"/>
      <c r="K7" s="528"/>
      <c r="L7" s="528"/>
      <c r="M7" s="528"/>
      <c r="N7" s="528"/>
      <c r="O7" s="528"/>
      <c r="P7" s="528"/>
      <c r="Q7" s="528"/>
      <c r="R7" s="528"/>
      <c r="S7" s="528"/>
      <c r="T7" s="528"/>
      <c r="U7" s="528"/>
      <c r="V7" s="528"/>
      <c r="W7" s="528"/>
    </row>
    <row r="8" ht="15.75" spans="2:23">
      <c r="B8" s="183" t="s">
        <v>463</v>
      </c>
      <c r="C8" s="528"/>
      <c r="D8" s="528"/>
      <c r="E8" s="528"/>
      <c r="F8" s="528"/>
      <c r="G8" s="528"/>
      <c r="H8" s="183"/>
      <c r="I8" s="528"/>
      <c r="J8" s="528"/>
      <c r="K8" s="528"/>
      <c r="L8" s="528"/>
      <c r="M8" s="528"/>
      <c r="N8" s="528"/>
      <c r="O8" s="528"/>
      <c r="P8" s="528"/>
      <c r="Q8" s="528"/>
      <c r="R8" s="528"/>
      <c r="S8" s="528"/>
      <c r="T8" s="528"/>
      <c r="U8" s="528"/>
      <c r="V8" s="528"/>
      <c r="W8" s="528"/>
    </row>
    <row r="9" ht="31.5" spans="2:21">
      <c r="B9" s="752" t="s">
        <v>200</v>
      </c>
      <c r="C9" s="753" t="s">
        <v>464</v>
      </c>
      <c r="D9" s="528"/>
      <c r="E9" s="528"/>
      <c r="F9" s="754"/>
      <c r="G9" s="755"/>
      <c r="H9" s="755"/>
      <c r="I9" s="755"/>
      <c r="J9" s="528"/>
      <c r="K9" s="528"/>
      <c r="L9" s="528"/>
      <c r="M9" s="528"/>
      <c r="N9" s="528"/>
      <c r="O9" s="528"/>
      <c r="P9" s="528"/>
      <c r="Q9" s="528"/>
      <c r="R9" s="528"/>
      <c r="S9" s="528"/>
      <c r="T9" s="528"/>
      <c r="U9" s="528"/>
    </row>
    <row r="10" ht="15.75" spans="2:21">
      <c r="B10" s="756">
        <v>2024</v>
      </c>
      <c r="C10" s="757">
        <v>0</v>
      </c>
      <c r="D10" s="528"/>
      <c r="E10" s="528"/>
      <c r="F10" s="758"/>
      <c r="G10" s="758"/>
      <c r="H10" s="758"/>
      <c r="I10" s="758"/>
      <c r="J10" s="528"/>
      <c r="K10" s="528"/>
      <c r="L10" s="528"/>
      <c r="M10" s="528"/>
      <c r="N10" s="528"/>
      <c r="O10" s="528"/>
      <c r="P10" s="528"/>
      <c r="Q10" s="528"/>
      <c r="R10" s="528"/>
      <c r="S10" s="528"/>
      <c r="T10" s="528"/>
      <c r="U10" s="528"/>
    </row>
    <row r="11" ht="15.75" spans="2:21">
      <c r="B11" s="756">
        <v>2025</v>
      </c>
      <c r="C11" s="757">
        <v>0</v>
      </c>
      <c r="D11" s="528"/>
      <c r="E11" s="528"/>
      <c r="F11" s="758"/>
      <c r="G11" s="758"/>
      <c r="H11" s="758"/>
      <c r="I11" s="758"/>
      <c r="J11" s="528"/>
      <c r="K11" s="528"/>
      <c r="L11" s="528"/>
      <c r="M11" s="528"/>
      <c r="N11" s="528"/>
      <c r="O11" s="528"/>
      <c r="P11" s="528"/>
      <c r="Q11" s="528"/>
      <c r="R11" s="528"/>
      <c r="S11" s="528"/>
      <c r="T11" s="528"/>
      <c r="U11" s="528"/>
    </row>
    <row r="12" ht="15.75" spans="2:21">
      <c r="B12" s="756">
        <v>2026</v>
      </c>
      <c r="C12" s="756">
        <v>0</v>
      </c>
      <c r="D12" s="528"/>
      <c r="E12" s="528"/>
      <c r="F12" s="758"/>
      <c r="G12" s="758"/>
      <c r="H12" s="758"/>
      <c r="I12" s="758"/>
      <c r="J12" s="528"/>
      <c r="K12" s="528"/>
      <c r="L12" s="528"/>
      <c r="M12" s="528"/>
      <c r="N12" s="528"/>
      <c r="O12" s="528"/>
      <c r="P12" s="528"/>
      <c r="Q12" s="528"/>
      <c r="R12" s="528"/>
      <c r="S12" s="528"/>
      <c r="T12" s="528"/>
      <c r="U12" s="528"/>
    </row>
    <row r="13" ht="15.75" spans="2:21">
      <c r="B13" s="756">
        <v>2027</v>
      </c>
      <c r="C13" s="756">
        <v>0</v>
      </c>
      <c r="D13" s="528"/>
      <c r="E13" s="528"/>
      <c r="F13" s="758"/>
      <c r="G13" s="758"/>
      <c r="H13" s="758"/>
      <c r="I13" s="758"/>
      <c r="J13" s="528"/>
      <c r="K13" s="528"/>
      <c r="L13" s="528"/>
      <c r="M13" s="528"/>
      <c r="N13" s="528"/>
      <c r="O13" s="528"/>
      <c r="P13" s="528"/>
      <c r="Q13" s="528"/>
      <c r="R13" s="528"/>
      <c r="S13" s="528"/>
      <c r="T13" s="528"/>
      <c r="U13" s="528"/>
    </row>
    <row r="14" ht="15.75" spans="2:21">
      <c r="B14" s="756">
        <v>2028</v>
      </c>
      <c r="C14" s="756">
        <v>0</v>
      </c>
      <c r="D14" s="528"/>
      <c r="E14" s="528"/>
      <c r="F14" s="758"/>
      <c r="G14" s="758"/>
      <c r="H14" s="758"/>
      <c r="I14" s="758"/>
      <c r="J14" s="528"/>
      <c r="K14" s="528"/>
      <c r="L14" s="528"/>
      <c r="M14" s="528"/>
      <c r="N14" s="528"/>
      <c r="O14" s="528"/>
      <c r="P14" s="528"/>
      <c r="Q14" s="528"/>
      <c r="R14" s="528"/>
      <c r="S14" s="528"/>
      <c r="T14" s="528"/>
      <c r="U14" s="528"/>
    </row>
    <row r="15" ht="15.75" spans="2:21">
      <c r="B15" s="756">
        <v>2029</v>
      </c>
      <c r="C15" s="756">
        <v>0</v>
      </c>
      <c r="D15" s="528"/>
      <c r="E15" s="528"/>
      <c r="F15" s="758"/>
      <c r="G15" s="758"/>
      <c r="H15" s="758"/>
      <c r="I15" s="758"/>
      <c r="J15" s="528"/>
      <c r="K15" s="528"/>
      <c r="L15" s="528"/>
      <c r="M15" s="528"/>
      <c r="N15" s="528"/>
      <c r="O15" s="528"/>
      <c r="P15" s="528"/>
      <c r="Q15" s="528"/>
      <c r="R15" s="528"/>
      <c r="S15" s="528"/>
      <c r="T15" s="528"/>
      <c r="U15" s="528"/>
    </row>
    <row r="16" ht="15.75" spans="2:21">
      <c r="B16" s="756">
        <v>2030</v>
      </c>
      <c r="C16" s="756">
        <v>0</v>
      </c>
      <c r="D16" s="528"/>
      <c r="E16" s="528"/>
      <c r="F16" s="758"/>
      <c r="G16" s="758"/>
      <c r="H16" s="758"/>
      <c r="I16" s="758"/>
      <c r="J16" s="528"/>
      <c r="K16" s="528"/>
      <c r="L16" s="528"/>
      <c r="M16" s="528"/>
      <c r="N16" s="528"/>
      <c r="O16" s="528"/>
      <c r="P16" s="528"/>
      <c r="Q16" s="528"/>
      <c r="R16" s="528"/>
      <c r="S16" s="528"/>
      <c r="T16" s="528"/>
      <c r="U16" s="528"/>
    </row>
    <row r="17" ht="15.75" spans="2:21">
      <c r="B17" s="756">
        <v>2031</v>
      </c>
      <c r="C17" s="756">
        <v>0</v>
      </c>
      <c r="D17" s="528"/>
      <c r="E17" s="528"/>
      <c r="F17" s="758"/>
      <c r="G17" s="758"/>
      <c r="H17" s="758"/>
      <c r="I17" s="758"/>
      <c r="J17" s="528"/>
      <c r="K17" s="528"/>
      <c r="L17" s="528"/>
      <c r="M17" s="528"/>
      <c r="N17" s="528"/>
      <c r="O17" s="528"/>
      <c r="P17" s="528"/>
      <c r="Q17" s="528"/>
      <c r="R17" s="528"/>
      <c r="S17" s="528"/>
      <c r="T17" s="528"/>
      <c r="U17" s="528"/>
    </row>
    <row r="18" ht="15.75" spans="2:21">
      <c r="B18" s="756">
        <v>2032</v>
      </c>
      <c r="C18" s="756">
        <v>0</v>
      </c>
      <c r="D18" s="528"/>
      <c r="E18" s="528"/>
      <c r="F18" s="758"/>
      <c r="G18" s="758"/>
      <c r="H18" s="758"/>
      <c r="I18" s="758"/>
      <c r="J18" s="528"/>
      <c r="K18" s="528"/>
      <c r="L18" s="528"/>
      <c r="M18" s="528"/>
      <c r="N18" s="528"/>
      <c r="O18" s="528"/>
      <c r="P18" s="528"/>
      <c r="Q18" s="528"/>
      <c r="R18" s="528"/>
      <c r="S18" s="528"/>
      <c r="T18" s="528"/>
      <c r="U18" s="528"/>
    </row>
    <row r="19" ht="15.75" spans="2:21">
      <c r="B19" s="756">
        <v>2033</v>
      </c>
      <c r="C19" s="756">
        <v>0</v>
      </c>
      <c r="D19" s="528"/>
      <c r="E19" s="528"/>
      <c r="F19" s="758"/>
      <c r="G19" s="758"/>
      <c r="H19" s="758"/>
      <c r="I19" s="758"/>
      <c r="J19" s="528"/>
      <c r="K19" s="528"/>
      <c r="L19" s="528"/>
      <c r="M19" s="528"/>
      <c r="N19" s="528"/>
      <c r="O19" s="528"/>
      <c r="P19" s="528"/>
      <c r="Q19" s="528"/>
      <c r="R19" s="528"/>
      <c r="S19" s="528"/>
      <c r="T19" s="528"/>
      <c r="U19" s="528"/>
    </row>
    <row r="20" ht="15.75" spans="2:21">
      <c r="B20" s="756">
        <v>2034</v>
      </c>
      <c r="C20" s="756">
        <v>0</v>
      </c>
      <c r="D20" s="528"/>
      <c r="E20" s="528"/>
      <c r="F20" s="758"/>
      <c r="G20" s="758"/>
      <c r="H20" s="758"/>
      <c r="I20" s="758"/>
      <c r="J20" s="528"/>
      <c r="K20" s="528"/>
      <c r="L20" s="528"/>
      <c r="M20" s="528"/>
      <c r="N20" s="528"/>
      <c r="O20" s="528"/>
      <c r="P20" s="528"/>
      <c r="Q20" s="528"/>
      <c r="R20" s="528"/>
      <c r="S20" s="528"/>
      <c r="T20" s="528"/>
      <c r="U20" s="528"/>
    </row>
    <row r="21" ht="15.75" spans="2:21">
      <c r="B21" s="756">
        <v>2035</v>
      </c>
      <c r="C21" s="756">
        <v>0</v>
      </c>
      <c r="D21" s="528"/>
      <c r="E21" s="528"/>
      <c r="F21" s="758"/>
      <c r="G21" s="758"/>
      <c r="H21" s="758"/>
      <c r="I21" s="758"/>
      <c r="J21" s="528"/>
      <c r="K21" s="528"/>
      <c r="L21" s="528"/>
      <c r="M21" s="528"/>
      <c r="N21" s="528"/>
      <c r="O21" s="528"/>
      <c r="P21" s="528"/>
      <c r="Q21" s="528"/>
      <c r="R21" s="528"/>
      <c r="S21" s="528"/>
      <c r="T21" s="528"/>
      <c r="U21" s="528"/>
    </row>
    <row r="22" ht="15.75" spans="2:21">
      <c r="B22" s="756">
        <v>2036</v>
      </c>
      <c r="C22" s="756">
        <v>0</v>
      </c>
      <c r="D22" s="528"/>
      <c r="E22" s="528"/>
      <c r="F22" s="758"/>
      <c r="G22" s="758"/>
      <c r="H22" s="758"/>
      <c r="I22" s="758"/>
      <c r="J22" s="528"/>
      <c r="K22" s="528"/>
      <c r="L22" s="528"/>
      <c r="M22" s="528"/>
      <c r="N22" s="528"/>
      <c r="O22" s="528"/>
      <c r="P22" s="528"/>
      <c r="Q22" s="528"/>
      <c r="R22" s="528"/>
      <c r="S22" s="528"/>
      <c r="T22" s="528"/>
      <c r="U22" s="528"/>
    </row>
    <row r="23" ht="15.75" spans="2:21">
      <c r="B23" s="756">
        <v>2037</v>
      </c>
      <c r="C23" s="756">
        <v>0</v>
      </c>
      <c r="D23" s="528"/>
      <c r="E23" s="528"/>
      <c r="F23" s="758"/>
      <c r="G23" s="758"/>
      <c r="H23" s="758"/>
      <c r="I23" s="758"/>
      <c r="J23" s="528"/>
      <c r="K23" s="528"/>
      <c r="L23" s="528"/>
      <c r="M23" s="528"/>
      <c r="N23" s="528"/>
      <c r="O23" s="528"/>
      <c r="P23" s="528"/>
      <c r="Q23" s="528"/>
      <c r="R23" s="528"/>
      <c r="S23" s="528"/>
      <c r="T23" s="528"/>
      <c r="U23" s="528"/>
    </row>
    <row r="24" ht="15.75" spans="2:21">
      <c r="B24" s="756">
        <v>2038</v>
      </c>
      <c r="C24" s="756">
        <v>0</v>
      </c>
      <c r="D24" s="528"/>
      <c r="E24" s="528"/>
      <c r="F24" s="758"/>
      <c r="G24" s="758"/>
      <c r="H24" s="758"/>
      <c r="I24" s="758"/>
      <c r="J24" s="528"/>
      <c r="K24" s="528"/>
      <c r="L24" s="528"/>
      <c r="M24" s="528"/>
      <c r="N24" s="528"/>
      <c r="O24" s="528"/>
      <c r="P24" s="528"/>
      <c r="Q24" s="528"/>
      <c r="R24" s="528"/>
      <c r="S24" s="528"/>
      <c r="T24" s="528"/>
      <c r="U24" s="528"/>
    </row>
    <row r="25" ht="15.75" spans="2:21">
      <c r="B25" s="756">
        <v>2039</v>
      </c>
      <c r="C25" s="756">
        <v>0</v>
      </c>
      <c r="D25" s="528"/>
      <c r="E25" s="528"/>
      <c r="F25" s="758"/>
      <c r="G25" s="758"/>
      <c r="H25" s="758"/>
      <c r="I25" s="758"/>
      <c r="J25" s="528"/>
      <c r="K25" s="528"/>
      <c r="L25" s="528"/>
      <c r="M25" s="528"/>
      <c r="N25" s="528"/>
      <c r="O25" s="528"/>
      <c r="P25" s="528"/>
      <c r="Q25" s="528"/>
      <c r="R25" s="528"/>
      <c r="S25" s="528"/>
      <c r="T25" s="528"/>
      <c r="U25" s="528"/>
    </row>
    <row r="26" ht="15.75" spans="2:21">
      <c r="B26" s="756">
        <v>2040</v>
      </c>
      <c r="C26" s="756">
        <v>0</v>
      </c>
      <c r="D26" s="528"/>
      <c r="E26" s="528"/>
      <c r="F26" s="758"/>
      <c r="G26" s="758"/>
      <c r="H26" s="758"/>
      <c r="I26" s="758"/>
      <c r="J26" s="528"/>
      <c r="K26" s="528"/>
      <c r="L26" s="528"/>
      <c r="M26" s="528"/>
      <c r="N26" s="528"/>
      <c r="O26" s="528"/>
      <c r="P26" s="528"/>
      <c r="Q26" s="528"/>
      <c r="R26" s="528"/>
      <c r="S26" s="528"/>
      <c r="T26" s="528"/>
      <c r="U26" s="528"/>
    </row>
    <row r="27" ht="15.75" spans="2:21">
      <c r="B27" s="756">
        <v>2041</v>
      </c>
      <c r="C27" s="756">
        <v>0</v>
      </c>
      <c r="D27" s="528"/>
      <c r="E27" s="528"/>
      <c r="F27" s="758"/>
      <c r="G27" s="758"/>
      <c r="H27" s="758"/>
      <c r="I27" s="758"/>
      <c r="J27" s="528"/>
      <c r="K27" s="528"/>
      <c r="L27" s="528"/>
      <c r="M27" s="528"/>
      <c r="N27" s="528"/>
      <c r="O27" s="528"/>
      <c r="P27" s="528"/>
      <c r="Q27" s="528"/>
      <c r="R27" s="528"/>
      <c r="S27" s="528"/>
      <c r="T27" s="528"/>
      <c r="U27" s="528"/>
    </row>
    <row r="28" ht="15.75" spans="2:21">
      <c r="B28" s="756">
        <v>2042</v>
      </c>
      <c r="C28" s="756">
        <v>0</v>
      </c>
      <c r="D28" s="528"/>
      <c r="E28" s="528"/>
      <c r="F28" s="758"/>
      <c r="G28" s="758"/>
      <c r="H28" s="758"/>
      <c r="I28" s="758"/>
      <c r="J28" s="528"/>
      <c r="K28" s="528"/>
      <c r="L28" s="528"/>
      <c r="M28" s="528"/>
      <c r="N28" s="528"/>
      <c r="O28" s="528"/>
      <c r="P28" s="528"/>
      <c r="Q28" s="528"/>
      <c r="R28" s="528"/>
      <c r="S28" s="528"/>
      <c r="T28" s="528"/>
      <c r="U28" s="528"/>
    </row>
    <row r="29" ht="15.75" spans="2:21">
      <c r="B29" s="756">
        <v>2043</v>
      </c>
      <c r="C29" s="756">
        <v>0</v>
      </c>
      <c r="D29" s="528"/>
      <c r="E29" s="528"/>
      <c r="F29" s="758"/>
      <c r="G29" s="758"/>
      <c r="H29" s="758"/>
      <c r="I29" s="758"/>
      <c r="J29" s="528"/>
      <c r="K29" s="528"/>
      <c r="L29" s="528"/>
      <c r="M29" s="528"/>
      <c r="N29" s="528"/>
      <c r="O29" s="528"/>
      <c r="P29" s="528"/>
      <c r="Q29" s="528"/>
      <c r="R29" s="528"/>
      <c r="S29" s="528"/>
      <c r="T29" s="528"/>
      <c r="U29" s="528"/>
    </row>
    <row r="30" ht="15.75" spans="2:21">
      <c r="B30" s="756">
        <v>2044</v>
      </c>
      <c r="C30" s="756">
        <v>0</v>
      </c>
      <c r="D30" s="528"/>
      <c r="E30" s="528"/>
      <c r="F30" s="758"/>
      <c r="G30" s="758"/>
      <c r="H30" s="758"/>
      <c r="I30" s="758"/>
      <c r="J30" s="528"/>
      <c r="K30" s="528"/>
      <c r="L30" s="528"/>
      <c r="M30" s="528"/>
      <c r="N30" s="528"/>
      <c r="O30" s="528"/>
      <c r="P30" s="528"/>
      <c r="Q30" s="528"/>
      <c r="R30" s="528"/>
      <c r="S30" s="528"/>
      <c r="T30" s="528"/>
      <c r="U30" s="528"/>
    </row>
    <row r="31" ht="15.75" spans="2:21">
      <c r="B31" s="756">
        <v>2045</v>
      </c>
      <c r="C31" s="756">
        <v>0</v>
      </c>
      <c r="D31" s="528"/>
      <c r="E31" s="528"/>
      <c r="F31" s="758"/>
      <c r="G31" s="758"/>
      <c r="H31" s="758"/>
      <c r="I31" s="758"/>
      <c r="J31" s="528"/>
      <c r="K31" s="528"/>
      <c r="L31" s="528"/>
      <c r="M31" s="528"/>
      <c r="N31" s="528"/>
      <c r="O31" s="528"/>
      <c r="P31" s="528"/>
      <c r="Q31" s="528"/>
      <c r="R31" s="528"/>
      <c r="S31" s="528"/>
      <c r="T31" s="528"/>
      <c r="U31" s="528"/>
    </row>
    <row r="32" ht="15.75" spans="2:21">
      <c r="B32" s="756">
        <v>2046</v>
      </c>
      <c r="C32" s="756">
        <v>0</v>
      </c>
      <c r="D32" s="528"/>
      <c r="E32" s="528"/>
      <c r="F32" s="758"/>
      <c r="G32" s="758"/>
      <c r="H32" s="758"/>
      <c r="I32" s="758"/>
      <c r="J32" s="528"/>
      <c r="K32" s="528"/>
      <c r="L32" s="528"/>
      <c r="M32" s="528"/>
      <c r="N32" s="528"/>
      <c r="O32" s="528"/>
      <c r="P32" s="528"/>
      <c r="Q32" s="528"/>
      <c r="R32" s="528"/>
      <c r="S32" s="528"/>
      <c r="T32" s="528"/>
      <c r="U32" s="528"/>
    </row>
    <row r="33" ht="15.75" spans="2:21">
      <c r="B33" s="756">
        <v>2047</v>
      </c>
      <c r="C33" s="756">
        <v>0</v>
      </c>
      <c r="D33" s="528"/>
      <c r="E33" s="528"/>
      <c r="F33" s="758"/>
      <c r="G33" s="758"/>
      <c r="H33" s="758"/>
      <c r="I33" s="758"/>
      <c r="J33" s="528"/>
      <c r="K33" s="528"/>
      <c r="L33" s="528"/>
      <c r="M33" s="528"/>
      <c r="N33" s="528"/>
      <c r="O33" s="528"/>
      <c r="P33" s="528"/>
      <c r="Q33" s="528"/>
      <c r="R33" s="528"/>
      <c r="S33" s="528"/>
      <c r="T33" s="528"/>
      <c r="U33" s="528"/>
    </row>
    <row r="34" ht="15.75" spans="2:21">
      <c r="B34" s="756">
        <v>2048</v>
      </c>
      <c r="C34" s="756">
        <v>0</v>
      </c>
      <c r="D34" s="528"/>
      <c r="E34" s="528"/>
      <c r="F34" s="758"/>
      <c r="G34" s="758"/>
      <c r="H34" s="758"/>
      <c r="I34" s="758"/>
      <c r="J34" s="528"/>
      <c r="K34" s="528"/>
      <c r="L34" s="528"/>
      <c r="M34" s="528"/>
      <c r="N34" s="528"/>
      <c r="O34" s="528"/>
      <c r="P34" s="528"/>
      <c r="Q34" s="528"/>
      <c r="R34" s="528"/>
      <c r="S34" s="528"/>
      <c r="T34" s="528"/>
      <c r="U34" s="528"/>
    </row>
    <row r="35" ht="15.75" spans="2:21">
      <c r="B35" s="756">
        <v>2049</v>
      </c>
      <c r="C35" s="756">
        <v>0</v>
      </c>
      <c r="D35" s="528"/>
      <c r="E35" s="528"/>
      <c r="F35" s="758"/>
      <c r="G35" s="758"/>
      <c r="H35" s="758"/>
      <c r="I35" s="758"/>
      <c r="J35" s="528"/>
      <c r="K35" s="528"/>
      <c r="L35" s="528"/>
      <c r="M35" s="528"/>
      <c r="N35" s="528"/>
      <c r="O35" s="528"/>
      <c r="P35" s="528"/>
      <c r="Q35" s="528"/>
      <c r="R35" s="528"/>
      <c r="S35" s="528"/>
      <c r="T35" s="528"/>
      <c r="U35" s="528"/>
    </row>
    <row r="36" ht="15.75" spans="2:21">
      <c r="B36" s="756">
        <v>2050</v>
      </c>
      <c r="C36" s="756">
        <v>0</v>
      </c>
      <c r="D36" s="528"/>
      <c r="E36" s="528"/>
      <c r="F36" s="758"/>
      <c r="G36" s="758"/>
      <c r="H36" s="758"/>
      <c r="I36" s="758"/>
      <c r="J36" s="528"/>
      <c r="K36" s="528"/>
      <c r="L36" s="528"/>
      <c r="M36" s="528"/>
      <c r="N36" s="528"/>
      <c r="O36" s="528"/>
      <c r="P36" s="528"/>
      <c r="Q36" s="528"/>
      <c r="R36" s="528"/>
      <c r="S36" s="528"/>
      <c r="T36" s="528"/>
      <c r="U36" s="528"/>
    </row>
    <row r="37" ht="15.75" spans="2:21">
      <c r="B37" s="756">
        <v>2051</v>
      </c>
      <c r="C37" s="756">
        <v>0</v>
      </c>
      <c r="D37" s="528"/>
      <c r="E37" s="528"/>
      <c r="F37" s="758"/>
      <c r="G37" s="758"/>
      <c r="H37" s="758"/>
      <c r="I37" s="758"/>
      <c r="J37" s="528"/>
      <c r="K37" s="528"/>
      <c r="L37" s="528"/>
      <c r="M37" s="528"/>
      <c r="N37" s="528"/>
      <c r="O37" s="528"/>
      <c r="P37" s="528"/>
      <c r="Q37" s="528"/>
      <c r="R37" s="528"/>
      <c r="S37" s="528"/>
      <c r="T37" s="528"/>
      <c r="U37" s="528"/>
    </row>
    <row r="38" ht="15.75" spans="2:21">
      <c r="B38" s="756">
        <v>2052</v>
      </c>
      <c r="C38" s="756">
        <v>0</v>
      </c>
      <c r="D38" s="528"/>
      <c r="E38" s="528"/>
      <c r="F38" s="758"/>
      <c r="G38" s="758"/>
      <c r="H38" s="758"/>
      <c r="I38" s="758"/>
      <c r="J38" s="528"/>
      <c r="K38" s="528"/>
      <c r="L38" s="528"/>
      <c r="M38" s="528"/>
      <c r="N38" s="528"/>
      <c r="O38" s="528"/>
      <c r="P38" s="528"/>
      <c r="Q38" s="528"/>
      <c r="R38" s="528"/>
      <c r="S38" s="528"/>
      <c r="T38" s="528"/>
      <c r="U38" s="528"/>
    </row>
    <row r="39" ht="15.75" spans="2:21">
      <c r="B39" s="756">
        <v>2053</v>
      </c>
      <c r="C39" s="756">
        <v>0</v>
      </c>
      <c r="D39" s="528"/>
      <c r="E39" s="528"/>
      <c r="F39" s="758"/>
      <c r="G39" s="758"/>
      <c r="H39" s="758"/>
      <c r="I39" s="758"/>
      <c r="J39" s="528"/>
      <c r="K39" s="528"/>
      <c r="L39" s="528"/>
      <c r="M39" s="528"/>
      <c r="N39" s="528"/>
      <c r="O39" s="528"/>
      <c r="P39" s="528"/>
      <c r="Q39" s="528"/>
      <c r="R39" s="528"/>
      <c r="S39" s="528"/>
      <c r="T39" s="528"/>
      <c r="U39" s="528"/>
    </row>
    <row r="40" ht="15.75" spans="2:21">
      <c r="B40" s="756">
        <v>2054</v>
      </c>
      <c r="C40" s="756">
        <v>0</v>
      </c>
      <c r="D40" s="528"/>
      <c r="E40" s="528"/>
      <c r="F40" s="758"/>
      <c r="G40" s="758"/>
      <c r="H40" s="758"/>
      <c r="I40" s="758"/>
      <c r="J40" s="528"/>
      <c r="K40" s="528"/>
      <c r="L40" s="528"/>
      <c r="M40" s="528"/>
      <c r="N40" s="528"/>
      <c r="O40" s="528"/>
      <c r="P40" s="528"/>
      <c r="Q40" s="528"/>
      <c r="R40" s="528"/>
      <c r="S40" s="528"/>
      <c r="T40" s="528"/>
      <c r="U40" s="528"/>
    </row>
    <row r="41" ht="15.75" spans="2:21">
      <c r="B41" s="756">
        <v>2055</v>
      </c>
      <c r="C41" s="756">
        <v>0</v>
      </c>
      <c r="D41" s="528"/>
      <c r="E41" s="528"/>
      <c r="F41" s="758"/>
      <c r="G41" s="758"/>
      <c r="H41" s="758"/>
      <c r="I41" s="758"/>
      <c r="J41" s="528"/>
      <c r="K41" s="528"/>
      <c r="L41" s="528"/>
      <c r="M41" s="528"/>
      <c r="N41" s="528"/>
      <c r="O41" s="528"/>
      <c r="P41" s="528"/>
      <c r="Q41" s="528"/>
      <c r="R41" s="528"/>
      <c r="S41" s="528"/>
      <c r="T41" s="528"/>
      <c r="U41" s="528"/>
    </row>
    <row r="42" ht="15.75" spans="2:21">
      <c r="B42" s="756">
        <v>2056</v>
      </c>
      <c r="C42" s="756">
        <v>0</v>
      </c>
      <c r="D42" s="528"/>
      <c r="E42" s="528"/>
      <c r="F42" s="758"/>
      <c r="G42" s="758"/>
      <c r="H42" s="758"/>
      <c r="I42" s="758"/>
      <c r="J42" s="528"/>
      <c r="K42" s="528"/>
      <c r="L42" s="528"/>
      <c r="M42" s="528"/>
      <c r="N42" s="528"/>
      <c r="O42" s="528"/>
      <c r="P42" s="528"/>
      <c r="Q42" s="528"/>
      <c r="R42" s="528"/>
      <c r="S42" s="528"/>
      <c r="T42" s="528"/>
      <c r="U42" s="528"/>
    </row>
    <row r="43" ht="15.75" spans="2:21">
      <c r="B43" s="756">
        <v>2057</v>
      </c>
      <c r="C43" s="756">
        <v>0</v>
      </c>
      <c r="D43" s="528"/>
      <c r="E43" s="528"/>
      <c r="F43" s="758"/>
      <c r="G43" s="758"/>
      <c r="H43" s="758"/>
      <c r="I43" s="758"/>
      <c r="J43" s="528"/>
      <c r="K43" s="528"/>
      <c r="L43" s="528"/>
      <c r="M43" s="528"/>
      <c r="N43" s="528"/>
      <c r="O43" s="528"/>
      <c r="P43" s="528"/>
      <c r="Q43" s="528"/>
      <c r="R43" s="528"/>
      <c r="S43" s="528"/>
      <c r="T43" s="528"/>
      <c r="U43" s="528"/>
    </row>
    <row r="44" ht="15.75" spans="2:21">
      <c r="B44" s="756">
        <v>2058</v>
      </c>
      <c r="C44" s="756">
        <v>0</v>
      </c>
      <c r="D44" s="528"/>
      <c r="E44" s="528"/>
      <c r="F44" s="758"/>
      <c r="G44" s="758"/>
      <c r="H44" s="758"/>
      <c r="I44" s="758"/>
      <c r="J44" s="528"/>
      <c r="K44" s="528"/>
      <c r="L44" s="528"/>
      <c r="M44" s="528"/>
      <c r="N44" s="528"/>
      <c r="O44" s="528"/>
      <c r="P44" s="528"/>
      <c r="Q44" s="528"/>
      <c r="R44" s="528"/>
      <c r="S44" s="528"/>
      <c r="T44" s="528"/>
      <c r="U44" s="528"/>
    </row>
    <row r="45" ht="15.75" spans="2:21">
      <c r="B45" s="756">
        <v>2059</v>
      </c>
      <c r="C45" s="756">
        <v>0</v>
      </c>
      <c r="D45" s="528"/>
      <c r="E45" s="528"/>
      <c r="F45" s="758"/>
      <c r="G45" s="758"/>
      <c r="H45" s="758"/>
      <c r="I45" s="758"/>
      <c r="J45" s="528"/>
      <c r="K45" s="528"/>
      <c r="L45" s="528"/>
      <c r="M45" s="528"/>
      <c r="N45" s="528"/>
      <c r="O45" s="528"/>
      <c r="P45" s="528"/>
      <c r="Q45" s="528"/>
      <c r="R45" s="528"/>
      <c r="S45" s="528"/>
      <c r="T45" s="528"/>
      <c r="U45" s="528"/>
    </row>
    <row r="46" ht="15.75" spans="2:21">
      <c r="B46" s="756">
        <v>2060</v>
      </c>
      <c r="C46" s="756">
        <v>0</v>
      </c>
      <c r="D46" s="528"/>
      <c r="E46" s="528"/>
      <c r="F46" s="758"/>
      <c r="G46" s="758"/>
      <c r="H46" s="758"/>
      <c r="I46" s="758"/>
      <c r="J46" s="528"/>
      <c r="K46" s="528"/>
      <c r="L46" s="528"/>
      <c r="M46" s="528"/>
      <c r="N46" s="528"/>
      <c r="O46" s="528"/>
      <c r="P46" s="528"/>
      <c r="Q46" s="528"/>
      <c r="R46" s="528"/>
      <c r="S46" s="528"/>
      <c r="T46" s="528"/>
      <c r="U46" s="528"/>
    </row>
    <row r="47" ht="15.75" spans="2:21">
      <c r="B47" s="756">
        <v>2061</v>
      </c>
      <c r="C47" s="756">
        <v>0</v>
      </c>
      <c r="D47" s="528"/>
      <c r="E47" s="528"/>
      <c r="F47" s="758"/>
      <c r="G47" s="758"/>
      <c r="H47" s="758"/>
      <c r="I47" s="758"/>
      <c r="J47" s="528"/>
      <c r="K47" s="528"/>
      <c r="L47" s="528"/>
      <c r="M47" s="528"/>
      <c r="N47" s="528"/>
      <c r="O47" s="528"/>
      <c r="P47" s="528"/>
      <c r="Q47" s="528"/>
      <c r="R47" s="528"/>
      <c r="S47" s="528"/>
      <c r="T47" s="528"/>
      <c r="U47" s="528"/>
    </row>
    <row r="48" ht="15.75" spans="2:21">
      <c r="B48" s="756">
        <v>2062</v>
      </c>
      <c r="C48" s="756">
        <v>0</v>
      </c>
      <c r="D48" s="528"/>
      <c r="E48" s="528"/>
      <c r="F48" s="758"/>
      <c r="G48" s="758"/>
      <c r="H48" s="758"/>
      <c r="I48" s="758"/>
      <c r="J48" s="528"/>
      <c r="K48" s="528"/>
      <c r="L48" s="528"/>
      <c r="M48" s="528"/>
      <c r="N48" s="528"/>
      <c r="O48" s="528"/>
      <c r="P48" s="528"/>
      <c r="Q48" s="528"/>
      <c r="R48" s="528"/>
      <c r="S48" s="528"/>
      <c r="T48" s="528"/>
      <c r="U48" s="528"/>
    </row>
    <row r="49" ht="15.75" spans="2:21">
      <c r="B49" s="756">
        <v>2063</v>
      </c>
      <c r="C49" s="756">
        <v>0</v>
      </c>
      <c r="D49" s="528"/>
      <c r="E49" s="528"/>
      <c r="F49" s="758"/>
      <c r="G49" s="758"/>
      <c r="H49" s="758"/>
      <c r="I49" s="758"/>
      <c r="J49" s="528"/>
      <c r="K49" s="528"/>
      <c r="L49" s="528"/>
      <c r="M49" s="528"/>
      <c r="N49" s="528"/>
      <c r="O49" s="528"/>
      <c r="P49" s="528"/>
      <c r="Q49" s="528"/>
      <c r="R49" s="528"/>
      <c r="S49" s="528"/>
      <c r="T49" s="528"/>
      <c r="U49" s="528"/>
    </row>
    <row r="50" ht="15.75" spans="2:23">
      <c r="B50" s="183" t="s">
        <v>8</v>
      </c>
      <c r="C50" s="528"/>
      <c r="D50" s="528"/>
      <c r="E50" s="528"/>
      <c r="F50" s="528"/>
      <c r="G50" s="528"/>
      <c r="H50" s="183"/>
      <c r="I50" s="528"/>
      <c r="J50" s="528"/>
      <c r="K50" s="528"/>
      <c r="L50" s="528"/>
      <c r="M50" s="528"/>
      <c r="N50" s="528"/>
      <c r="O50" s="528"/>
      <c r="P50" s="528"/>
      <c r="Q50" s="528"/>
      <c r="R50" s="528"/>
      <c r="S50" s="528"/>
      <c r="T50" s="528"/>
      <c r="U50" s="528"/>
      <c r="V50" s="528"/>
      <c r="W50" s="528"/>
    </row>
    <row r="51" ht="15.75" spans="2:23">
      <c r="B51" s="528"/>
      <c r="C51" s="528"/>
      <c r="D51" s="528"/>
      <c r="E51" s="528"/>
      <c r="F51" s="528"/>
      <c r="G51" s="528"/>
      <c r="H51" s="528"/>
      <c r="I51" s="528"/>
      <c r="J51" s="528"/>
      <c r="K51" s="528"/>
      <c r="L51" s="528"/>
      <c r="M51" s="528"/>
      <c r="N51" s="528"/>
      <c r="O51" s="528"/>
      <c r="P51" s="528"/>
      <c r="Q51" s="528"/>
      <c r="R51" s="528"/>
      <c r="S51" s="528"/>
      <c r="T51" s="528"/>
      <c r="U51" s="528"/>
      <c r="V51" s="528"/>
      <c r="W51" s="528"/>
    </row>
    <row r="52" ht="13.2" customHeight="1"/>
    <row r="53" ht="15.75" spans="2:23">
      <c r="B53" s="751" t="s">
        <v>465</v>
      </c>
      <c r="C53" s="751"/>
      <c r="D53" s="751"/>
      <c r="E53" s="751"/>
      <c r="F53" s="751"/>
      <c r="G53" s="751"/>
      <c r="H53" s="751"/>
      <c r="I53" s="751"/>
      <c r="J53" s="751"/>
      <c r="K53" s="751"/>
      <c r="L53" s="751"/>
      <c r="M53" s="751"/>
      <c r="N53" s="751"/>
      <c r="O53" s="751"/>
      <c r="P53" s="751"/>
      <c r="Q53" s="751"/>
      <c r="R53" s="751"/>
      <c r="S53" s="751"/>
      <c r="T53" s="751"/>
      <c r="U53" s="751"/>
      <c r="V53" s="751"/>
      <c r="W53" s="751"/>
    </row>
    <row r="54" ht="15.75" spans="2:23">
      <c r="B54" s="528"/>
      <c r="C54" s="528"/>
      <c r="D54" s="528"/>
      <c r="E54" s="528"/>
      <c r="F54" s="528"/>
      <c r="G54" s="528"/>
      <c r="H54" s="528"/>
      <c r="I54" s="528"/>
      <c r="J54" s="528"/>
      <c r="K54" s="528"/>
      <c r="L54" s="528"/>
      <c r="M54" s="528"/>
      <c r="N54" s="528"/>
      <c r="O54" s="528"/>
      <c r="P54" s="528"/>
      <c r="Q54" s="528"/>
      <c r="R54" s="528"/>
      <c r="S54" s="528"/>
      <c r="T54" s="528"/>
      <c r="U54" s="528"/>
      <c r="V54" s="528"/>
      <c r="W54" s="528"/>
    </row>
    <row r="55" ht="15.75" spans="2:23">
      <c r="B55" s="183" t="s">
        <v>466</v>
      </c>
      <c r="C55" s="528"/>
      <c r="D55" s="528"/>
      <c r="E55" s="528"/>
      <c r="F55" s="528"/>
      <c r="G55" s="528"/>
      <c r="H55" s="528"/>
      <c r="I55" s="528"/>
      <c r="J55" s="528"/>
      <c r="K55" s="528"/>
      <c r="L55" s="528"/>
      <c r="M55" s="528"/>
      <c r="N55" s="528"/>
      <c r="O55" s="528"/>
      <c r="P55" s="528"/>
      <c r="Q55" s="528"/>
      <c r="R55" s="528"/>
      <c r="S55" s="528"/>
      <c r="T55" s="528"/>
      <c r="U55" s="528"/>
      <c r="V55" s="528"/>
      <c r="W55" s="528"/>
    </row>
    <row r="56" ht="15.75" spans="2:23">
      <c r="B56" s="598" t="s">
        <v>467</v>
      </c>
      <c r="C56" s="598" t="s">
        <v>200</v>
      </c>
      <c r="D56" s="759" t="s">
        <v>237</v>
      </c>
      <c r="E56" s="759"/>
      <c r="F56" s="759"/>
      <c r="G56" s="759"/>
      <c r="H56" s="759"/>
      <c r="I56" s="759"/>
      <c r="J56" s="759" t="s">
        <v>247</v>
      </c>
      <c r="K56" s="759"/>
      <c r="L56" s="759"/>
      <c r="M56" s="759"/>
      <c r="N56" s="759"/>
      <c r="O56" s="759"/>
      <c r="P56" s="759" t="s">
        <v>248</v>
      </c>
      <c r="Q56" s="759"/>
      <c r="R56" s="759"/>
      <c r="S56" s="759"/>
      <c r="T56" s="759"/>
      <c r="U56" s="759"/>
      <c r="V56" s="528"/>
      <c r="W56" s="528"/>
    </row>
    <row r="57" s="3" customFormat="1" ht="37.2" customHeight="1" spans="2:23">
      <c r="B57" s="598"/>
      <c r="C57" s="598"/>
      <c r="D57" s="598" t="s">
        <v>468</v>
      </c>
      <c r="E57" s="598" t="s">
        <v>469</v>
      </c>
      <c r="F57" s="598" t="s">
        <v>464</v>
      </c>
      <c r="G57" s="598" t="s">
        <v>470</v>
      </c>
      <c r="H57" s="598" t="s">
        <v>471</v>
      </c>
      <c r="I57" s="598" t="s">
        <v>472</v>
      </c>
      <c r="J57" s="598" t="s">
        <v>468</v>
      </c>
      <c r="K57" s="598" t="s">
        <v>469</v>
      </c>
      <c r="L57" s="598" t="s">
        <v>464</v>
      </c>
      <c r="M57" s="598" t="s">
        <v>470</v>
      </c>
      <c r="N57" s="598" t="s">
        <v>471</v>
      </c>
      <c r="O57" s="598" t="s">
        <v>472</v>
      </c>
      <c r="P57" s="598" t="s">
        <v>468</v>
      </c>
      <c r="Q57" s="598" t="s">
        <v>469</v>
      </c>
      <c r="R57" s="598" t="s">
        <v>464</v>
      </c>
      <c r="S57" s="598" t="s">
        <v>470</v>
      </c>
      <c r="T57" s="598" t="s">
        <v>471</v>
      </c>
      <c r="U57" s="598" t="s">
        <v>472</v>
      </c>
      <c r="V57" s="763"/>
      <c r="W57" s="763"/>
    </row>
    <row r="58" ht="15.75" spans="2:23">
      <c r="B58" s="760">
        <v>0</v>
      </c>
      <c r="C58" s="209">
        <v>2024</v>
      </c>
      <c r="D58" s="761">
        <f>+'I.1 Proyecciones Población'!F22*'II. Caracterizacion RSU'!$D$47/1000</f>
        <v>765.665378166795</v>
      </c>
      <c r="E58" s="761">
        <f>+'I.1 Proyecciones Población'!F22*'II. Caracterizacion RSU'!$D$48/1000</f>
        <v>338.209121870469</v>
      </c>
      <c r="F58" s="762">
        <f>+SUM(D58:E58)</f>
        <v>1103.87450003726</v>
      </c>
      <c r="G58" s="761">
        <f>+D58*365</f>
        <v>279467.86303088</v>
      </c>
      <c r="H58" s="761">
        <f>+E58*365</f>
        <v>123446.329482721</v>
      </c>
      <c r="I58" s="762">
        <f>+SUM(G58:H58)</f>
        <v>402914.192513601</v>
      </c>
      <c r="J58" s="761">
        <f>+'I.1 Proyecciones Población'!G22*'II. Caracterizacion RSU'!$D$47/1000</f>
        <v>21.2688910059472</v>
      </c>
      <c r="K58" s="761">
        <f>+'I.1 Proyecciones Población'!G22*'II. Caracterizacion RSU'!$D$48/1000</f>
        <v>9.39487817446159</v>
      </c>
      <c r="L58" s="762">
        <f>+SUM(J58:K58)</f>
        <v>30.6637691804088</v>
      </c>
      <c r="M58" s="761">
        <f>+J58*365</f>
        <v>7763.14521717072</v>
      </c>
      <c r="N58" s="761">
        <f>+K58*365</f>
        <v>3429.13053367848</v>
      </c>
      <c r="O58" s="762">
        <f>+SUM(M58:N58)</f>
        <v>11192.2757508492</v>
      </c>
      <c r="P58" s="761">
        <f>+'I.1 Proyecciones Población'!H22*'II. Caracterizacion RSU'!$D$47/1000</f>
        <v>19.8782924194256</v>
      </c>
      <c r="Q58" s="761">
        <f>+'I.1 Proyecciones Población'!H22*'II. Caracterizacion RSU'!$D$48/1000</f>
        <v>8.78062403651449</v>
      </c>
      <c r="R58" s="762">
        <f>+SUM(P58:Q58)</f>
        <v>28.6589164559401</v>
      </c>
      <c r="S58" s="761">
        <f>+P58*365</f>
        <v>7255.57673309033</v>
      </c>
      <c r="T58" s="761">
        <f>+Q58*365</f>
        <v>3204.92777332779</v>
      </c>
      <c r="U58" s="764">
        <f>+SUM(S58:T58)</f>
        <v>10460.5045064181</v>
      </c>
      <c r="V58" s="528"/>
      <c r="W58" s="765"/>
    </row>
    <row r="59" ht="15.75" spans="2:23">
      <c r="B59" s="760">
        <v>1</v>
      </c>
      <c r="C59" s="760">
        <v>2025</v>
      </c>
      <c r="D59" s="761">
        <f>+'I.1 Proyecciones Población'!F23*'II. Caracterizacion RSU'!$D$47/1000</f>
        <v>774.87700757016</v>
      </c>
      <c r="E59" s="761">
        <f>+'I.1 Proyecciones Población'!F23*'II. Caracterizacion RSU'!$D$48/1000</f>
        <v>342.278075724655</v>
      </c>
      <c r="F59" s="762">
        <f t="shared" ref="F59:F97" si="0">+SUM(D59:E59)</f>
        <v>1117.15508329481</v>
      </c>
      <c r="G59" s="761">
        <f t="shared" ref="G59:H78" si="1">+D59*365</f>
        <v>282830.107763109</v>
      </c>
      <c r="H59" s="761">
        <f t="shared" si="1"/>
        <v>124931.497639499</v>
      </c>
      <c r="I59" s="762">
        <f t="shared" ref="I59:I97" si="2">+SUM(G59:H59)</f>
        <v>407761.605402607</v>
      </c>
      <c r="J59" s="761">
        <f>+'I.1 Proyecciones Población'!G23*'II. Caracterizacion RSU'!$D$47/1000</f>
        <v>21.5247745124425</v>
      </c>
      <c r="K59" s="761">
        <f>+'I.1 Proyecciones Población'!G23*'II. Caracterizacion RSU'!$D$48/1000</f>
        <v>9.50790684011722</v>
      </c>
      <c r="L59" s="762">
        <f t="shared" ref="L59:L97" si="3">+SUM(J59:K59)</f>
        <v>31.0326813525597</v>
      </c>
      <c r="M59" s="761">
        <f t="shared" ref="M59:N78" si="4">+J59*365</f>
        <v>7856.54269704149</v>
      </c>
      <c r="N59" s="761">
        <f t="shared" si="4"/>
        <v>3470.38599664279</v>
      </c>
      <c r="O59" s="762">
        <f t="shared" ref="O59:O97" si="5">+SUM(M59:N59)</f>
        <v>11326.9286936843</v>
      </c>
      <c r="P59" s="761">
        <f>+'I.1 Proyecciones Población'!H23*'II. Caracterizacion RSU'!$D$47/1000</f>
        <v>20.1174457991669</v>
      </c>
      <c r="Q59" s="761">
        <f>+'I.1 Proyecciones Población'!H23*'II. Caracterizacion RSU'!$D$48/1000</f>
        <v>8.88626268344968</v>
      </c>
      <c r="R59" s="762">
        <f t="shared" ref="R59:R97" si="6">+SUM(P59:Q59)</f>
        <v>29.0037084826165</v>
      </c>
      <c r="S59" s="761">
        <f t="shared" ref="S59:T78" si="7">+P59*365</f>
        <v>7342.8677166959</v>
      </c>
      <c r="T59" s="761">
        <f t="shared" si="7"/>
        <v>3243.48587945913</v>
      </c>
      <c r="U59" s="764">
        <f t="shared" ref="U59:U97" si="8">+SUM(S59:T59)</f>
        <v>10586.353596155</v>
      </c>
      <c r="V59" s="528"/>
      <c r="W59" s="765"/>
    </row>
    <row r="60" ht="15.75" spans="2:23">
      <c r="B60" s="760">
        <v>2</v>
      </c>
      <c r="C60" s="209">
        <v>2026</v>
      </c>
      <c r="D60" s="761">
        <f>+'I.1 Proyecciones Población'!F24*'II. Caracterizacion RSU'!$D$47/1000</f>
        <v>783.640911001562</v>
      </c>
      <c r="E60" s="761">
        <f>+'I.1 Proyecciones Población'!F24*'II. Caracterizacion RSU'!$D$48/1000</f>
        <v>346.149260406909</v>
      </c>
      <c r="F60" s="762">
        <f t="shared" si="0"/>
        <v>1129.79017140847</v>
      </c>
      <c r="G60" s="761">
        <f t="shared" si="1"/>
        <v>286028.93251557</v>
      </c>
      <c r="H60" s="761">
        <f t="shared" si="1"/>
        <v>126344.480048522</v>
      </c>
      <c r="I60" s="762">
        <f t="shared" si="2"/>
        <v>412373.412564092</v>
      </c>
      <c r="J60" s="761">
        <f>+'I.1 Proyecciones Población'!G24*'II. Caracterizacion RSU'!$D$47/1000</f>
        <v>21.7682209476403</v>
      </c>
      <c r="K60" s="761">
        <f>+'I.1 Proyecciones Población'!G24*'II. Caracterizacion RSU'!$D$48/1000</f>
        <v>9.61544181220634</v>
      </c>
      <c r="L60" s="762">
        <f t="shared" si="3"/>
        <v>31.3836627598467</v>
      </c>
      <c r="M60" s="761">
        <f t="shared" si="4"/>
        <v>7945.40064588872</v>
      </c>
      <c r="N60" s="761">
        <f t="shared" si="4"/>
        <v>3509.63626145531</v>
      </c>
      <c r="O60" s="762">
        <f t="shared" si="5"/>
        <v>11455.036907344</v>
      </c>
      <c r="P60" s="761">
        <f>+'I.1 Proyecciones Población'!H24*'II. Caracterizacion RSU'!$D$47/1000</f>
        <v>20.3449752658408</v>
      </c>
      <c r="Q60" s="761">
        <f>+'I.1 Proyecciones Población'!H24*'II. Caracterizacion RSU'!$D$48/1000</f>
        <v>8.98676682444624</v>
      </c>
      <c r="R60" s="762">
        <f t="shared" si="6"/>
        <v>29.3317420902871</v>
      </c>
      <c r="S60" s="761">
        <f t="shared" si="7"/>
        <v>7425.9159720319</v>
      </c>
      <c r="T60" s="761">
        <f t="shared" si="7"/>
        <v>3280.16989092288</v>
      </c>
      <c r="U60" s="764">
        <f t="shared" si="8"/>
        <v>10706.0858629548</v>
      </c>
      <c r="V60" s="528"/>
      <c r="W60" s="765"/>
    </row>
    <row r="61" ht="15.75" spans="2:23">
      <c r="B61" s="760">
        <v>3</v>
      </c>
      <c r="C61" s="760">
        <v>2027</v>
      </c>
      <c r="D61" s="761">
        <f>+'I.1 Proyecciones Población'!F25*'II. Caracterizacion RSU'!$D$47/1000</f>
        <v>791.9033150877</v>
      </c>
      <c r="E61" s="761">
        <f>+'I.1 Proyecciones Población'!F25*'II. Caracterizacion RSU'!$D$48/1000</f>
        <v>349.798923184143</v>
      </c>
      <c r="F61" s="762">
        <f t="shared" si="0"/>
        <v>1141.70223827184</v>
      </c>
      <c r="G61" s="761">
        <f t="shared" si="1"/>
        <v>289044.710007011</v>
      </c>
      <c r="H61" s="761">
        <f t="shared" si="1"/>
        <v>127676.606962212</v>
      </c>
      <c r="I61" s="762">
        <f t="shared" si="2"/>
        <v>416721.316969223</v>
      </c>
      <c r="J61" s="761">
        <f>+'I.1 Proyecciones Población'!G25*'II. Caracterizacion RSU'!$D$47/1000</f>
        <v>21.9977365780531</v>
      </c>
      <c r="K61" s="761">
        <f>+'I.1 Proyecciones Población'!G25*'II. Caracterizacion RSU'!$D$48/1000</f>
        <v>9.71682327992177</v>
      </c>
      <c r="L61" s="762">
        <f t="shared" si="3"/>
        <v>31.7145598579748</v>
      </c>
      <c r="M61" s="761">
        <f t="shared" si="4"/>
        <v>8029.17385098937</v>
      </c>
      <c r="N61" s="761">
        <f t="shared" si="4"/>
        <v>3546.64049717145</v>
      </c>
      <c r="O61" s="762">
        <f t="shared" si="5"/>
        <v>11575.8143481608</v>
      </c>
      <c r="P61" s="761">
        <f>+'I.1 Proyecciones Población'!H25*'II. Caracterizacion RSU'!$D$47/1000</f>
        <v>20.5594847489586</v>
      </c>
      <c r="Q61" s="761">
        <f>+'I.1 Proyecciones Población'!H25*'II. Caracterizacion RSU'!$D$48/1000</f>
        <v>9.08151978832171</v>
      </c>
      <c r="R61" s="762">
        <f t="shared" si="6"/>
        <v>29.6410045372803</v>
      </c>
      <c r="S61" s="761">
        <f t="shared" si="7"/>
        <v>7504.21193336988</v>
      </c>
      <c r="T61" s="761">
        <f t="shared" si="7"/>
        <v>3314.75472273742</v>
      </c>
      <c r="U61" s="764">
        <f t="shared" si="8"/>
        <v>10818.9666561073</v>
      </c>
      <c r="V61" s="528"/>
      <c r="W61" s="765"/>
    </row>
    <row r="62" ht="15.75" spans="2:23">
      <c r="B62" s="760">
        <v>4</v>
      </c>
      <c r="C62" s="209">
        <v>2028</v>
      </c>
      <c r="D62" s="761">
        <f>+'I.1 Proyecciones Población'!F26*'II. Caracterizacion RSU'!$D$47/1000</f>
        <v>799.658823217633</v>
      </c>
      <c r="E62" s="761">
        <f>+'I.1 Proyecciones Población'!F26*'II. Caracterizacion RSU'!$D$48/1000</f>
        <v>353.224680269521</v>
      </c>
      <c r="F62" s="762">
        <f t="shared" si="0"/>
        <v>1152.88350348715</v>
      </c>
      <c r="G62" s="761">
        <f t="shared" si="1"/>
        <v>291875.470474436</v>
      </c>
      <c r="H62" s="761">
        <f t="shared" si="1"/>
        <v>128927.008298375</v>
      </c>
      <c r="I62" s="762">
        <f t="shared" si="2"/>
        <v>420802.478772811</v>
      </c>
      <c r="J62" s="761">
        <f>+'I.1 Proyecciones Población'!G26*'II. Caracterizacion RSU'!$D$47/1000</f>
        <v>22.2131714949435</v>
      </c>
      <c r="K62" s="761">
        <f>+'I.1 Proyecciones Población'!G26*'II. Caracterizacion RSU'!$D$48/1000</f>
        <v>9.81198502569146</v>
      </c>
      <c r="L62" s="762">
        <f t="shared" si="3"/>
        <v>32.025156520635</v>
      </c>
      <c r="M62" s="761">
        <f t="shared" si="4"/>
        <v>8107.80759565439</v>
      </c>
      <c r="N62" s="761">
        <f t="shared" si="4"/>
        <v>3581.37453437738</v>
      </c>
      <c r="O62" s="762">
        <f t="shared" si="5"/>
        <v>11689.1821300318</v>
      </c>
      <c r="P62" s="761">
        <f>+'I.1 Proyecciones Población'!H26*'II. Caracterizacion RSU'!$D$47/1000</f>
        <v>20.7608341410875</v>
      </c>
      <c r="Q62" s="761">
        <f>+'I.1 Proyecciones Población'!H26*'II. Caracterizacion RSU'!$D$48/1000</f>
        <v>9.17045968692875</v>
      </c>
      <c r="R62" s="762">
        <f t="shared" si="6"/>
        <v>29.9312938280162</v>
      </c>
      <c r="S62" s="761">
        <f t="shared" si="7"/>
        <v>7577.70446149693</v>
      </c>
      <c r="T62" s="761">
        <f t="shared" si="7"/>
        <v>3347.21778572899</v>
      </c>
      <c r="U62" s="764">
        <f t="shared" si="8"/>
        <v>10924.9222472259</v>
      </c>
      <c r="V62" s="528"/>
      <c r="W62" s="765"/>
    </row>
    <row r="63" ht="15.75" spans="2:23">
      <c r="B63" s="760">
        <v>5</v>
      </c>
      <c r="C63" s="760">
        <v>2029</v>
      </c>
      <c r="D63" s="761">
        <f>+'I.1 Proyecciones Población'!F27*'II. Caracterizacion RSU'!$D$47/1000</f>
        <v>806.948102709521</v>
      </c>
      <c r="E63" s="761">
        <f>+'I.1 Proyecciones Población'!F27*'II. Caracterizacion RSU'!$D$48/1000</f>
        <v>356.44449519954</v>
      </c>
      <c r="F63" s="762">
        <f t="shared" si="0"/>
        <v>1163.39259790906</v>
      </c>
      <c r="G63" s="761">
        <f t="shared" si="1"/>
        <v>294536.057488975</v>
      </c>
      <c r="H63" s="761">
        <f t="shared" si="1"/>
        <v>130102.240747832</v>
      </c>
      <c r="I63" s="762">
        <f t="shared" si="2"/>
        <v>424638.298236807</v>
      </c>
      <c r="J63" s="761">
        <f>+'I.1 Proyecciones Población'!G27*'II. Caracterizacion RSU'!$D$47/1000</f>
        <v>22.4156553677236</v>
      </c>
      <c r="K63" s="761">
        <f>+'I.1 Proyecciones Población'!G27*'II. Caracterizacion RSU'!$D$48/1000</f>
        <v>9.90142604621906</v>
      </c>
      <c r="L63" s="762">
        <f t="shared" si="3"/>
        <v>32.3170814139427</v>
      </c>
      <c r="M63" s="761">
        <f t="shared" si="4"/>
        <v>8181.71420921913</v>
      </c>
      <c r="N63" s="761">
        <f t="shared" si="4"/>
        <v>3614.02050686996</v>
      </c>
      <c r="O63" s="762">
        <f t="shared" si="5"/>
        <v>11795.7347160891</v>
      </c>
      <c r="P63" s="761">
        <f>+'I.1 Proyecciones Población'!H27*'II. Caracterizacion RSU'!$D$47/1000</f>
        <v>20.9500792518088</v>
      </c>
      <c r="Q63" s="761">
        <f>+'I.1 Proyecciones Población'!H27*'II. Caracterizacion RSU'!$D$48/1000</f>
        <v>9.25405289166341</v>
      </c>
      <c r="R63" s="762">
        <f t="shared" si="6"/>
        <v>30.2041321434722</v>
      </c>
      <c r="S63" s="761">
        <f t="shared" si="7"/>
        <v>7646.77892691022</v>
      </c>
      <c r="T63" s="761">
        <f t="shared" si="7"/>
        <v>3377.72930545715</v>
      </c>
      <c r="U63" s="764">
        <f t="shared" si="8"/>
        <v>11024.5082323674</v>
      </c>
      <c r="V63" s="528"/>
      <c r="W63" s="765"/>
    </row>
    <row r="64" ht="15.75" spans="2:23">
      <c r="B64" s="760">
        <v>6</v>
      </c>
      <c r="C64" s="209">
        <v>2030</v>
      </c>
      <c r="D64" s="761">
        <f>+'I.1 Proyecciones Población'!F28*'II. Caracterizacion RSU'!$D$47/1000</f>
        <v>813.843815074956</v>
      </c>
      <c r="E64" s="761">
        <f>+'I.1 Proyecciones Población'!F28*'II. Caracterizacion RSU'!$D$48/1000</f>
        <v>359.490463961206</v>
      </c>
      <c r="F64" s="762">
        <f t="shared" si="0"/>
        <v>1173.33427903616</v>
      </c>
      <c r="G64" s="761">
        <f t="shared" si="1"/>
        <v>297052.992502359</v>
      </c>
      <c r="H64" s="761">
        <f t="shared" si="1"/>
        <v>131214.01934584</v>
      </c>
      <c r="I64" s="762">
        <f t="shared" si="2"/>
        <v>428267.011848199</v>
      </c>
      <c r="J64" s="761">
        <f>+'I.1 Proyecciones Población'!G28*'II. Caracterizacion RSU'!$D$47/1000</f>
        <v>22.607206610461</v>
      </c>
      <c r="K64" s="761">
        <f>+'I.1 Proyecciones Población'!G28*'II. Caracterizacion RSU'!$D$48/1000</f>
        <v>9.98603791381389</v>
      </c>
      <c r="L64" s="762">
        <f t="shared" si="3"/>
        <v>32.5932445242749</v>
      </c>
      <c r="M64" s="761">
        <f t="shared" si="4"/>
        <v>8251.63041281826</v>
      </c>
      <c r="N64" s="761">
        <f t="shared" si="4"/>
        <v>3644.90383854207</v>
      </c>
      <c r="O64" s="762">
        <f t="shared" si="5"/>
        <v>11896.5342513603</v>
      </c>
      <c r="P64" s="761">
        <f>+'I.1 Proyecciones Población'!H28*'II. Caracterizacion RSU'!$D$47/1000</f>
        <v>21.1291065276255</v>
      </c>
      <c r="Q64" s="761">
        <f>+'I.1 Proyecciones Población'!H28*'II. Caracterizacion RSU'!$D$48/1000</f>
        <v>9.33313268222388</v>
      </c>
      <c r="R64" s="762">
        <f t="shared" si="6"/>
        <v>30.4622392098494</v>
      </c>
      <c r="S64" s="761">
        <f t="shared" si="7"/>
        <v>7712.12388258332</v>
      </c>
      <c r="T64" s="761">
        <f t="shared" si="7"/>
        <v>3406.59342901171</v>
      </c>
      <c r="U64" s="764">
        <f t="shared" si="8"/>
        <v>11118.717311595</v>
      </c>
      <c r="V64" s="528"/>
      <c r="W64" s="765"/>
    </row>
    <row r="65" ht="15.75" spans="2:23">
      <c r="B65" s="760">
        <v>7</v>
      </c>
      <c r="C65" s="760">
        <v>2031</v>
      </c>
      <c r="D65" s="761">
        <f>+'I.1 Proyecciones Población'!F29*'II. Caracterizacion RSU'!$D$47/1000</f>
        <v>820.422283811527</v>
      </c>
      <c r="E65" s="761">
        <f>+'I.1 Proyecciones Población'!F29*'II. Caracterizacion RSU'!$D$48/1000</f>
        <v>362.396300111163</v>
      </c>
      <c r="F65" s="762">
        <f t="shared" si="0"/>
        <v>1182.81858392269</v>
      </c>
      <c r="G65" s="761">
        <f t="shared" si="1"/>
        <v>299454.133591208</v>
      </c>
      <c r="H65" s="761">
        <f t="shared" si="1"/>
        <v>132274.649540575</v>
      </c>
      <c r="I65" s="762">
        <f t="shared" si="2"/>
        <v>431728.783131782</v>
      </c>
      <c r="J65" s="761">
        <f>+'I.1 Proyecciones Población'!G29*'II. Caracterizacion RSU'!$D$47/1000</f>
        <v>22.7899453610091</v>
      </c>
      <c r="K65" s="761">
        <f>+'I.1 Proyecciones Población'!G29*'II. Caracterizacion RSU'!$D$48/1000</f>
        <v>10.0667571341377</v>
      </c>
      <c r="L65" s="762">
        <f t="shared" si="3"/>
        <v>32.8567024951468</v>
      </c>
      <c r="M65" s="761">
        <f t="shared" si="4"/>
        <v>8318.33005676832</v>
      </c>
      <c r="N65" s="761">
        <f t="shared" si="4"/>
        <v>3674.36635396028</v>
      </c>
      <c r="O65" s="762">
        <f t="shared" si="5"/>
        <v>11992.6964107286</v>
      </c>
      <c r="P65" s="761">
        <f>+'I.1 Proyecciones Población'!H29*'II. Caracterizacion RSU'!$D$47/1000</f>
        <v>21.2998974879412</v>
      </c>
      <c r="Q65" s="761">
        <f>+'I.1 Proyecciones Población'!H29*'II. Caracterizacion RSU'!$D$48/1000</f>
        <v>9.40857433383688</v>
      </c>
      <c r="R65" s="762">
        <f t="shared" si="6"/>
        <v>30.7084718217781</v>
      </c>
      <c r="S65" s="761">
        <f t="shared" si="7"/>
        <v>7774.46258309855</v>
      </c>
      <c r="T65" s="761">
        <f t="shared" si="7"/>
        <v>3434.12963185046</v>
      </c>
      <c r="U65" s="764">
        <f t="shared" si="8"/>
        <v>11208.592214949</v>
      </c>
      <c r="V65" s="528"/>
      <c r="W65" s="765"/>
    </row>
    <row r="66" ht="15.75" spans="2:23">
      <c r="B66" s="760">
        <v>8</v>
      </c>
      <c r="C66" s="209">
        <v>2032</v>
      </c>
      <c r="D66" s="761">
        <f>+'I.1 Proyecciones Población'!F30*'II. Caracterizacion RSU'!$D$47/1000</f>
        <v>826.752122972621</v>
      </c>
      <c r="E66" s="761">
        <f>+'I.1 Proyecciones Población'!F30*'II. Caracterizacion RSU'!$D$48/1000</f>
        <v>365.192311796295</v>
      </c>
      <c r="F66" s="762">
        <f t="shared" si="0"/>
        <v>1191.94443476892</v>
      </c>
      <c r="G66" s="761">
        <f t="shared" si="1"/>
        <v>301764.524885007</v>
      </c>
      <c r="H66" s="761">
        <f t="shared" si="1"/>
        <v>133295.193805648</v>
      </c>
      <c r="I66" s="762">
        <f t="shared" si="2"/>
        <v>435059.718690654</v>
      </c>
      <c r="J66" s="761">
        <f>+'I.1 Proyecciones Población'!G30*'II. Caracterizacion RSU'!$D$47/1000</f>
        <v>22.9657776018828</v>
      </c>
      <c r="K66" s="761">
        <f>+'I.1 Proyecciones Población'!G30*'II. Caracterizacion RSU'!$D$48/1000</f>
        <v>10.1444256163209</v>
      </c>
      <c r="L66" s="762">
        <f t="shared" si="3"/>
        <v>33.1102032182037</v>
      </c>
      <c r="M66" s="761">
        <f t="shared" si="4"/>
        <v>8382.50882468723</v>
      </c>
      <c r="N66" s="761">
        <f t="shared" si="4"/>
        <v>3702.71534995713</v>
      </c>
      <c r="O66" s="762">
        <f t="shared" si="5"/>
        <v>12085.2241746444</v>
      </c>
      <c r="P66" s="761">
        <f>+'I.1 Proyecciones Población'!H30*'II. Caracterizacion RSU'!$D$47/1000</f>
        <v>21.4642334986845</v>
      </c>
      <c r="Q66" s="761">
        <f>+'I.1 Proyecciones Población'!H30*'II. Caracterizacion RSU'!$D$48/1000</f>
        <v>9.48116471009007</v>
      </c>
      <c r="R66" s="762">
        <f t="shared" si="6"/>
        <v>30.9453982087746</v>
      </c>
      <c r="S66" s="761">
        <f t="shared" si="7"/>
        <v>7834.44522701984</v>
      </c>
      <c r="T66" s="761">
        <f t="shared" si="7"/>
        <v>3460.62511918288</v>
      </c>
      <c r="U66" s="764">
        <f t="shared" si="8"/>
        <v>11295.0703462027</v>
      </c>
      <c r="V66" s="528"/>
      <c r="W66" s="765"/>
    </row>
    <row r="67" ht="15.75" spans="2:23">
      <c r="B67" s="760">
        <v>9</v>
      </c>
      <c r="C67" s="760">
        <v>2033</v>
      </c>
      <c r="D67" s="761">
        <f>+'I.1 Proyecciones Población'!F31*'II. Caracterizacion RSU'!$D$47/1000</f>
        <v>832.89597179237</v>
      </c>
      <c r="E67" s="761">
        <f>+'I.1 Proyecciones Población'!F31*'II. Caracterizacion RSU'!$D$48/1000</f>
        <v>367.906167970917</v>
      </c>
      <c r="F67" s="762">
        <f t="shared" si="0"/>
        <v>1200.80213976329</v>
      </c>
      <c r="G67" s="761">
        <f t="shared" si="1"/>
        <v>304007.029704215</v>
      </c>
      <c r="H67" s="761">
        <f t="shared" si="1"/>
        <v>134285.751309385</v>
      </c>
      <c r="I67" s="762">
        <f t="shared" si="2"/>
        <v>438292.7810136</v>
      </c>
      <c r="J67" s="761">
        <f>+'I.1 Proyecciones Población'!G31*'II. Caracterizacion RSU'!$D$47/1000</f>
        <v>23.1364433452094</v>
      </c>
      <c r="K67" s="761">
        <f>+'I.1 Proyecciones Población'!G31*'II. Caracterizacion RSU'!$D$48/1000</f>
        <v>10.2198119571818</v>
      </c>
      <c r="L67" s="762">
        <f t="shared" si="3"/>
        <v>33.3562553023912</v>
      </c>
      <c r="M67" s="761">
        <f t="shared" si="4"/>
        <v>8444.80182100143</v>
      </c>
      <c r="N67" s="761">
        <f t="shared" si="4"/>
        <v>3730.23136437135</v>
      </c>
      <c r="O67" s="762">
        <f t="shared" si="5"/>
        <v>12175.0331853728</v>
      </c>
      <c r="P67" s="761">
        <f>+'I.1 Proyecciones Población'!H31*'II. Caracterizacion RSU'!$D$47/1000</f>
        <v>21.6237408068406</v>
      </c>
      <c r="Q67" s="761">
        <f>+'I.1 Proyecciones Población'!H31*'II. Caracterizacion RSU'!$D$48/1000</f>
        <v>9.55162215555086</v>
      </c>
      <c r="R67" s="762">
        <f t="shared" si="6"/>
        <v>31.1753629623915</v>
      </c>
      <c r="S67" s="761">
        <f t="shared" si="7"/>
        <v>7892.66539449682</v>
      </c>
      <c r="T67" s="761">
        <f t="shared" si="7"/>
        <v>3486.34208677606</v>
      </c>
      <c r="U67" s="764">
        <f t="shared" si="8"/>
        <v>11379.0074812729</v>
      </c>
      <c r="V67" s="528"/>
      <c r="W67" s="765"/>
    </row>
    <row r="68" ht="15.75" spans="2:23">
      <c r="B68" s="760">
        <v>10</v>
      </c>
      <c r="C68" s="209">
        <v>2034</v>
      </c>
      <c r="D68" s="761">
        <f>+'I.1 Proyecciones Población'!F32*'II. Caracterizacion RSU'!$D$47/1000</f>
        <v>838.91203657449</v>
      </c>
      <c r="E68" s="761">
        <f>+'I.1 Proyecciones Población'!F32*'II. Caracterizacion RSU'!$D$48/1000</f>
        <v>370.563579478733</v>
      </c>
      <c r="F68" s="762">
        <f t="shared" si="0"/>
        <v>1209.47561605322</v>
      </c>
      <c r="G68" s="761">
        <f t="shared" si="1"/>
        <v>306202.893349689</v>
      </c>
      <c r="H68" s="761">
        <f t="shared" si="1"/>
        <v>135255.706509737</v>
      </c>
      <c r="I68" s="762">
        <f t="shared" si="2"/>
        <v>441458.599859426</v>
      </c>
      <c r="J68" s="761">
        <f>+'I.1 Proyecciones Población'!G32*'II. Caracterizacion RSU'!$D$47/1000</f>
        <v>23.3035594637963</v>
      </c>
      <c r="K68" s="761">
        <f>+'I.1 Proyecciones Población'!G32*'II. Caracterizacion RSU'!$D$48/1000</f>
        <v>10.2936303605331</v>
      </c>
      <c r="L68" s="762">
        <f t="shared" si="3"/>
        <v>33.5971898243295</v>
      </c>
      <c r="M68" s="761">
        <f t="shared" si="4"/>
        <v>8505.79920428566</v>
      </c>
      <c r="N68" s="761">
        <f t="shared" si="4"/>
        <v>3757.1750815946</v>
      </c>
      <c r="O68" s="762">
        <f t="shared" si="5"/>
        <v>12262.9742858803</v>
      </c>
      <c r="P68" s="761">
        <f>+'I.1 Proyecciones Población'!H32*'II. Caracterizacion RSU'!$D$47/1000</f>
        <v>21.7799305711467</v>
      </c>
      <c r="Q68" s="761">
        <f>+'I.1 Proyecciones Población'!H32*'II. Caracterizacion RSU'!$D$48/1000</f>
        <v>9.62061417809416</v>
      </c>
      <c r="R68" s="762">
        <f t="shared" si="6"/>
        <v>31.4005447492408</v>
      </c>
      <c r="S68" s="761">
        <f t="shared" si="7"/>
        <v>7949.67465846854</v>
      </c>
      <c r="T68" s="761">
        <f t="shared" si="7"/>
        <v>3511.52417500437</v>
      </c>
      <c r="U68" s="764">
        <f t="shared" si="8"/>
        <v>11461.1988334729</v>
      </c>
      <c r="V68" s="528"/>
      <c r="W68" s="765"/>
    </row>
    <row r="69" ht="15.75" spans="2:23">
      <c r="B69" s="760">
        <v>11</v>
      </c>
      <c r="C69" s="760">
        <v>2035</v>
      </c>
      <c r="D69" s="761">
        <f>+'I.1 Proyecciones Población'!F33*'II. Caracterizacion RSU'!$D$47/1000</f>
        <v>844.820747346114</v>
      </c>
      <c r="E69" s="761">
        <f>+'I.1 Proyecciones Población'!F33*'II. Caracterizacion RSU'!$D$48/1000</f>
        <v>373.173570655612</v>
      </c>
      <c r="F69" s="762">
        <f t="shared" si="0"/>
        <v>1217.99431800173</v>
      </c>
      <c r="G69" s="761">
        <f t="shared" si="1"/>
        <v>308359.572781332</v>
      </c>
      <c r="H69" s="761">
        <f t="shared" si="1"/>
        <v>136208.353289298</v>
      </c>
      <c r="I69" s="762">
        <f t="shared" si="2"/>
        <v>444567.92607063</v>
      </c>
      <c r="J69" s="761">
        <f>+'I.1 Proyecciones Población'!G33*'II. Caracterizacion RSU'!$D$47/1000</f>
        <v>23.4676934692913</v>
      </c>
      <c r="K69" s="761">
        <f>+'I.1 Proyecciones Población'!G33*'II. Caracterizacion RSU'!$D$48/1000</f>
        <v>10.3661315071834</v>
      </c>
      <c r="L69" s="762">
        <f t="shared" si="3"/>
        <v>33.8338249764747</v>
      </c>
      <c r="M69" s="761">
        <f t="shared" si="4"/>
        <v>8565.70811629132</v>
      </c>
      <c r="N69" s="761">
        <f t="shared" si="4"/>
        <v>3783.63800012196</v>
      </c>
      <c r="O69" s="762">
        <f t="shared" si="5"/>
        <v>12349.3461164133</v>
      </c>
      <c r="P69" s="761">
        <f>+'I.1 Proyecciones Población'!H33*'II. Caracterizacion RSU'!$D$47/1000</f>
        <v>21.9333331983118</v>
      </c>
      <c r="Q69" s="761">
        <f>+'I.1 Proyecciones Población'!H33*'II. Caracterizacion RSU'!$D$48/1000</f>
        <v>9.68837506856351</v>
      </c>
      <c r="R69" s="762">
        <f t="shared" si="6"/>
        <v>31.6217082668753</v>
      </c>
      <c r="S69" s="761">
        <f t="shared" si="7"/>
        <v>8005.6666173838</v>
      </c>
      <c r="T69" s="761">
        <f t="shared" si="7"/>
        <v>3536.25690002568</v>
      </c>
      <c r="U69" s="764">
        <f t="shared" si="8"/>
        <v>11541.9235174095</v>
      </c>
      <c r="V69" s="528"/>
      <c r="W69" s="765"/>
    </row>
    <row r="70" ht="15.75" spans="2:23">
      <c r="B70" s="760">
        <v>12</v>
      </c>
      <c r="C70" s="209">
        <v>2036</v>
      </c>
      <c r="D70" s="761">
        <f>+'I.1 Proyecciones Población'!F34*'II. Caracterizacion RSU'!$D$47/1000</f>
        <v>850.633090065227</v>
      </c>
      <c r="E70" s="761">
        <f>+'I.1 Proyecciones Población'!F34*'II. Caracterizacion RSU'!$D$48/1000</f>
        <v>375.740994210466</v>
      </c>
      <c r="F70" s="762">
        <f t="shared" si="0"/>
        <v>1226.37408427569</v>
      </c>
      <c r="G70" s="761">
        <f t="shared" si="1"/>
        <v>310481.077873808</v>
      </c>
      <c r="H70" s="761">
        <f t="shared" si="1"/>
        <v>137145.46288682</v>
      </c>
      <c r="I70" s="762">
        <f t="shared" si="2"/>
        <v>447626.540760628</v>
      </c>
      <c r="J70" s="761">
        <f>+'I.1 Proyecciones Población'!G34*'II. Caracterizacion RSU'!$D$47/1000</f>
        <v>23.629150533052</v>
      </c>
      <c r="K70" s="761">
        <f>+'I.1 Proyecciones Población'!G34*'II. Caracterizacion RSU'!$D$48/1000</f>
        <v>10.4374501971901</v>
      </c>
      <c r="L70" s="762">
        <f t="shared" si="3"/>
        <v>34.066600730242</v>
      </c>
      <c r="M70" s="761">
        <f t="shared" si="4"/>
        <v>8624.63994456397</v>
      </c>
      <c r="N70" s="761">
        <f t="shared" si="4"/>
        <v>3809.66932197438</v>
      </c>
      <c r="O70" s="762">
        <f t="shared" si="5"/>
        <v>12434.3092665383</v>
      </c>
      <c r="P70" s="761">
        <f>+'I.1 Proyecciones Población'!H34*'II. Caracterizacion RSU'!$D$47/1000</f>
        <v>22.0842339070379</v>
      </c>
      <c r="Q70" s="761">
        <f>+'I.1 Proyecciones Población'!H34*'II. Caracterizacion RSU'!$D$48/1000</f>
        <v>9.75503081354456</v>
      </c>
      <c r="R70" s="762">
        <f t="shared" si="6"/>
        <v>31.8392647205825</v>
      </c>
      <c r="S70" s="761">
        <f t="shared" si="7"/>
        <v>8060.74537606885</v>
      </c>
      <c r="T70" s="761">
        <f t="shared" si="7"/>
        <v>3560.58624694376</v>
      </c>
      <c r="U70" s="764">
        <f t="shared" si="8"/>
        <v>11621.3316230126</v>
      </c>
      <c r="V70" s="528"/>
      <c r="W70" s="765"/>
    </row>
    <row r="71" ht="15.75" spans="2:23">
      <c r="B71" s="760">
        <v>13</v>
      </c>
      <c r="C71" s="760">
        <v>2037</v>
      </c>
      <c r="D71" s="761">
        <f>+'I.1 Proyecciones Población'!F35*'II. Caracterizacion RSU'!$D$47/1000</f>
        <v>856.322274413232</v>
      </c>
      <c r="E71" s="761">
        <f>+'I.1 Proyecciones Población'!F35*'II. Caracterizacion RSU'!$D$48/1000</f>
        <v>378.254016344371</v>
      </c>
      <c r="F71" s="762">
        <f t="shared" si="0"/>
        <v>1234.5762907576</v>
      </c>
      <c r="G71" s="761">
        <f t="shared" si="1"/>
        <v>312557.63016083</v>
      </c>
      <c r="H71" s="761">
        <f t="shared" si="1"/>
        <v>138062.715965695</v>
      </c>
      <c r="I71" s="762">
        <f t="shared" si="2"/>
        <v>450620.346126525</v>
      </c>
      <c r="J71" s="761">
        <f>+'I.1 Proyecciones Población'!G35*'II. Caracterizacion RSU'!$D$47/1000</f>
        <v>23.7871864652763</v>
      </c>
      <c r="K71" s="761">
        <f>+'I.1 Proyecciones Población'!G35*'II. Caracterizacion RSU'!$D$48/1000</f>
        <v>10.5072577076061</v>
      </c>
      <c r="L71" s="762">
        <f t="shared" si="3"/>
        <v>34.2944441728823</v>
      </c>
      <c r="M71" s="761">
        <f t="shared" si="4"/>
        <v>8682.32305982583</v>
      </c>
      <c r="N71" s="761">
        <f t="shared" si="4"/>
        <v>3835.14906327622</v>
      </c>
      <c r="O71" s="762">
        <f t="shared" si="5"/>
        <v>12517.4721231021</v>
      </c>
      <c r="P71" s="761">
        <f>+'I.1 Proyecciones Población'!H35*'II. Caracterizacion RSU'!$D$47/1000</f>
        <v>22.2319371639991</v>
      </c>
      <c r="Q71" s="761">
        <f>+'I.1 Proyecciones Población'!H35*'II. Caracterizacion RSU'!$D$48/1000</f>
        <v>9.82027418259157</v>
      </c>
      <c r="R71" s="762">
        <f t="shared" si="6"/>
        <v>32.0522113465907</v>
      </c>
      <c r="S71" s="761">
        <f t="shared" si="7"/>
        <v>8114.65706485968</v>
      </c>
      <c r="T71" s="761">
        <f t="shared" si="7"/>
        <v>3584.40007664592</v>
      </c>
      <c r="U71" s="764">
        <f t="shared" si="8"/>
        <v>11699.0571415056</v>
      </c>
      <c r="V71" s="528"/>
      <c r="W71" s="765"/>
    </row>
    <row r="72" ht="15.75" spans="2:23">
      <c r="B72" s="760">
        <v>14</v>
      </c>
      <c r="C72" s="209">
        <v>2038</v>
      </c>
      <c r="D72" s="761">
        <f>+'I.1 Proyecciones Población'!F36*'II. Caracterizacion RSU'!$D$47/1000</f>
        <v>861.824504739366</v>
      </c>
      <c r="E72" s="761">
        <f>+'I.1 Proyecciones Población'!F36*'II. Caracterizacion RSU'!$D$48/1000</f>
        <v>380.684457291546</v>
      </c>
      <c r="F72" s="762">
        <f t="shared" si="0"/>
        <v>1242.50896203091</v>
      </c>
      <c r="G72" s="761">
        <f t="shared" si="1"/>
        <v>314565.944229869</v>
      </c>
      <c r="H72" s="761">
        <f t="shared" si="1"/>
        <v>138949.826911414</v>
      </c>
      <c r="I72" s="762">
        <f t="shared" si="2"/>
        <v>453515.771141283</v>
      </c>
      <c r="J72" s="761">
        <f>+'I.1 Proyecciones Población'!G36*'II. Caracterizacion RSU'!$D$47/1000</f>
        <v>23.9400291305361</v>
      </c>
      <c r="K72" s="761">
        <f>+'I.1 Proyecciones Población'!G36*'II. Caracterizacion RSU'!$D$48/1000</f>
        <v>10.5747712521334</v>
      </c>
      <c r="L72" s="762">
        <f t="shared" si="3"/>
        <v>34.5148003826694</v>
      </c>
      <c r="M72" s="761">
        <f t="shared" si="4"/>
        <v>8738.11063264566</v>
      </c>
      <c r="N72" s="761">
        <f t="shared" si="4"/>
        <v>3859.79150702868</v>
      </c>
      <c r="O72" s="762">
        <f t="shared" si="5"/>
        <v>12597.9021396743</v>
      </c>
      <c r="P72" s="761">
        <f>+'I.1 Proyecciones Población'!H36*'II. Caracterizacion RSU'!$D$47/1000</f>
        <v>22.3747866991888</v>
      </c>
      <c r="Q72" s="761">
        <f>+'I.1 Proyecciones Población'!H36*'II. Caracterizacion RSU'!$D$48/1000</f>
        <v>9.88337356939128</v>
      </c>
      <c r="R72" s="762">
        <f t="shared" si="6"/>
        <v>32.2581602685801</v>
      </c>
      <c r="S72" s="761">
        <f t="shared" si="7"/>
        <v>8166.7971452039</v>
      </c>
      <c r="T72" s="761">
        <f t="shared" si="7"/>
        <v>3607.43135282782</v>
      </c>
      <c r="U72" s="764">
        <f t="shared" si="8"/>
        <v>11774.2284980317</v>
      </c>
      <c r="V72" s="528"/>
      <c r="W72" s="765"/>
    </row>
    <row r="73" ht="15.75" spans="2:23">
      <c r="B73" s="760">
        <v>15</v>
      </c>
      <c r="C73" s="760">
        <v>2039</v>
      </c>
      <c r="D73" s="761">
        <f>+'I.1 Proyecciones Población'!F37*'II. Caracterizacion RSU'!$D$47/1000</f>
        <v>867.056711782367</v>
      </c>
      <c r="E73" s="761">
        <f>+'I.1 Proyecciones Población'!F37*'II. Caracterizacion RSU'!$D$48/1000</f>
        <v>382.995623761806</v>
      </c>
      <c r="F73" s="762">
        <f t="shared" si="0"/>
        <v>1250.05233554417</v>
      </c>
      <c r="G73" s="761">
        <f t="shared" si="1"/>
        <v>316475.699800564</v>
      </c>
      <c r="H73" s="761">
        <f t="shared" si="1"/>
        <v>139793.402673059</v>
      </c>
      <c r="I73" s="762">
        <f t="shared" si="2"/>
        <v>456269.102473623</v>
      </c>
      <c r="J73" s="761">
        <f>+'I.1 Proyecciones Población'!G37*'II. Caracterizacion RSU'!$D$47/1000</f>
        <v>24.0853710050565</v>
      </c>
      <c r="K73" s="761">
        <f>+'I.1 Proyecciones Población'!G37*'II. Caracterizacion RSU'!$D$48/1000</f>
        <v>10.6389715531451</v>
      </c>
      <c r="L73" s="762">
        <f t="shared" si="3"/>
        <v>34.7243425582015</v>
      </c>
      <c r="M73" s="761">
        <f t="shared" si="4"/>
        <v>8791.16041684561</v>
      </c>
      <c r="N73" s="761">
        <f t="shared" si="4"/>
        <v>3883.22461689795</v>
      </c>
      <c r="O73" s="762">
        <f t="shared" si="5"/>
        <v>12674.3850337436</v>
      </c>
      <c r="P73" s="761">
        <f>+'I.1 Proyecciones Población'!H37*'II. Caracterizacion RSU'!$D$47/1000</f>
        <v>22.5106258589125</v>
      </c>
      <c r="Q73" s="761">
        <f>+'I.1 Proyecciones Población'!H37*'II. Caracterizacion RSU'!$D$48/1000</f>
        <v>9.94337633853279</v>
      </c>
      <c r="R73" s="762">
        <f t="shared" si="6"/>
        <v>32.4540021974453</v>
      </c>
      <c r="S73" s="761">
        <f t="shared" si="7"/>
        <v>8216.37843850307</v>
      </c>
      <c r="T73" s="761">
        <f t="shared" si="7"/>
        <v>3629.33236356447</v>
      </c>
      <c r="U73" s="764">
        <f t="shared" si="8"/>
        <v>11845.7108020675</v>
      </c>
      <c r="V73" s="528"/>
      <c r="W73" s="765"/>
    </row>
    <row r="74" ht="15.75" spans="2:23">
      <c r="B74" s="760">
        <v>16</v>
      </c>
      <c r="C74" s="209">
        <v>2040</v>
      </c>
      <c r="D74" s="761">
        <f>+'I.1 Proyecciones Población'!F38*'II. Caracterizacion RSU'!$D$47/1000</f>
        <v>871.935248072654</v>
      </c>
      <c r="E74" s="761">
        <f>+'I.1 Proyecciones Población'!F38*'II. Caracterizacion RSU'!$D$48/1000</f>
        <v>385.150567059231</v>
      </c>
      <c r="F74" s="762">
        <f t="shared" si="0"/>
        <v>1257.08581513188</v>
      </c>
      <c r="G74" s="761">
        <f t="shared" si="1"/>
        <v>318256.365546519</v>
      </c>
      <c r="H74" s="761">
        <f t="shared" si="1"/>
        <v>140579.956976619</v>
      </c>
      <c r="I74" s="762">
        <f t="shared" si="2"/>
        <v>458836.322523138</v>
      </c>
      <c r="J74" s="761">
        <f>+'I.1 Proyecciones Población'!G38*'II. Caracterizacion RSU'!$D$47/1000</f>
        <v>24.2208885034121</v>
      </c>
      <c r="K74" s="761">
        <f>+'I.1 Proyecciones Población'!G38*'II. Caracterizacion RSU'!$D$48/1000</f>
        <v>10.6988322382745</v>
      </c>
      <c r="L74" s="762">
        <f t="shared" si="3"/>
        <v>34.9197207416866</v>
      </c>
      <c r="M74" s="761">
        <f t="shared" si="4"/>
        <v>8840.62430374541</v>
      </c>
      <c r="N74" s="761">
        <f t="shared" si="4"/>
        <v>3905.07376697019</v>
      </c>
      <c r="O74" s="762">
        <f t="shared" si="5"/>
        <v>12745.6980707156</v>
      </c>
      <c r="P74" s="761">
        <f>+'I.1 Proyecciones Población'!H38*'II. Caracterizacion RSU'!$D$47/1000</f>
        <v>22.6372829779654</v>
      </c>
      <c r="Q74" s="761">
        <f>+'I.1 Proyecciones Población'!H38*'II. Caracterizacion RSU'!$D$48/1000</f>
        <v>9.99932322373226</v>
      </c>
      <c r="R74" s="762">
        <f t="shared" si="6"/>
        <v>32.6366062016976</v>
      </c>
      <c r="S74" s="761">
        <f t="shared" si="7"/>
        <v>8262.60828695736</v>
      </c>
      <c r="T74" s="761">
        <f t="shared" si="7"/>
        <v>3649.75297666227</v>
      </c>
      <c r="U74" s="764">
        <f t="shared" si="8"/>
        <v>11912.3612636196</v>
      </c>
      <c r="V74" s="528"/>
      <c r="W74" s="765"/>
    </row>
    <row r="75" ht="15.75" spans="2:23">
      <c r="B75" s="760">
        <v>17</v>
      </c>
      <c r="C75" s="760">
        <v>2041</v>
      </c>
      <c r="D75" s="761">
        <f>+'I.1 Proyecciones Población'!F39*'II. Caracterizacion RSU'!$D$47/1000</f>
        <v>876.387837570845</v>
      </c>
      <c r="E75" s="761">
        <f>+'I.1 Proyecciones Población'!F39*'II. Caracterizacion RSU'!$D$48/1000</f>
        <v>387.117361467303</v>
      </c>
      <c r="F75" s="762">
        <f t="shared" si="0"/>
        <v>1263.50519903815</v>
      </c>
      <c r="G75" s="761">
        <f t="shared" si="1"/>
        <v>319881.560713358</v>
      </c>
      <c r="H75" s="761">
        <f t="shared" si="1"/>
        <v>141297.836935566</v>
      </c>
      <c r="I75" s="762">
        <f t="shared" si="2"/>
        <v>461179.397648924</v>
      </c>
      <c r="J75" s="761">
        <f>+'I.1 Proyecciones Población'!G39*'II. Caracterizacion RSU'!$D$47/1000</f>
        <v>24.3445739193022</v>
      </c>
      <c r="K75" s="761">
        <f>+'I.1 Proyecciones Población'!G39*'II. Caracterizacion RSU'!$D$48/1000</f>
        <v>10.7534664650389</v>
      </c>
      <c r="L75" s="762">
        <f t="shared" si="3"/>
        <v>35.0980403843411</v>
      </c>
      <c r="M75" s="761">
        <f t="shared" si="4"/>
        <v>8885.76948054531</v>
      </c>
      <c r="N75" s="761">
        <f t="shared" si="4"/>
        <v>3925.01525973918</v>
      </c>
      <c r="O75" s="762">
        <f t="shared" si="5"/>
        <v>12810.7847402845</v>
      </c>
      <c r="P75" s="761">
        <f>+'I.1 Proyecciones Población'!H39*'II. Caracterizacion RSU'!$D$47/1000</f>
        <v>22.7528816175181</v>
      </c>
      <c r="Q75" s="761">
        <f>+'I.1 Proyecciones Población'!H39*'II. Caracterizacion RSU'!$D$48/1000</f>
        <v>10.0503853658735</v>
      </c>
      <c r="R75" s="762">
        <f t="shared" si="6"/>
        <v>32.8032669833915</v>
      </c>
      <c r="S75" s="761">
        <f t="shared" si="7"/>
        <v>8304.8017903941</v>
      </c>
      <c r="T75" s="761">
        <f t="shared" si="7"/>
        <v>3668.39065854381</v>
      </c>
      <c r="U75" s="764">
        <f t="shared" si="8"/>
        <v>11973.1924489379</v>
      </c>
      <c r="V75" s="528"/>
      <c r="W75" s="765"/>
    </row>
    <row r="76" ht="15.75" spans="2:23">
      <c r="B76" s="760">
        <v>18</v>
      </c>
      <c r="C76" s="209">
        <v>2042</v>
      </c>
      <c r="D76" s="761">
        <f>+'I.1 Proyecciones Población'!F40*'II. Caracterizacion RSU'!$D$47/1000</f>
        <v>880.391351944338</v>
      </c>
      <c r="E76" s="761">
        <f>+'I.1 Proyecciones Población'!F40*'II. Caracterizacion RSU'!$D$48/1000</f>
        <v>388.885790756736</v>
      </c>
      <c r="F76" s="762">
        <f t="shared" si="0"/>
        <v>1269.27714270107</v>
      </c>
      <c r="G76" s="761">
        <f t="shared" si="1"/>
        <v>321342.843459683</v>
      </c>
      <c r="H76" s="761">
        <f t="shared" si="1"/>
        <v>141943.313626209</v>
      </c>
      <c r="I76" s="762">
        <f t="shared" si="2"/>
        <v>463286.157085892</v>
      </c>
      <c r="J76" s="761">
        <f>+'I.1 Proyecciones Población'!G40*'II. Caracterizacion RSU'!$D$47/1000</f>
        <v>24.4557847867107</v>
      </c>
      <c r="K76" s="761">
        <f>+'I.1 Proyecciones Población'!G40*'II. Caracterizacion RSU'!$D$48/1000</f>
        <v>10.8025904438437</v>
      </c>
      <c r="L76" s="762">
        <f t="shared" si="3"/>
        <v>35.2583752305544</v>
      </c>
      <c r="M76" s="761">
        <f t="shared" si="4"/>
        <v>8926.3614471494</v>
      </c>
      <c r="N76" s="761">
        <f t="shared" si="4"/>
        <v>3942.94551200295</v>
      </c>
      <c r="O76" s="762">
        <f t="shared" si="5"/>
        <v>12869.3069591524</v>
      </c>
      <c r="P76" s="761">
        <f>+'I.1 Proyecciones Población'!H40*'II. Caracterizacion RSU'!$D$47/1000</f>
        <v>22.8568213171454</v>
      </c>
      <c r="Q76" s="761">
        <f>+'I.1 Proyecciones Población'!H40*'II. Caracterizacion RSU'!$D$48/1000</f>
        <v>10.0962975300392</v>
      </c>
      <c r="R76" s="762">
        <f t="shared" si="6"/>
        <v>32.9531188471846</v>
      </c>
      <c r="S76" s="761">
        <f t="shared" si="7"/>
        <v>8342.73978075806</v>
      </c>
      <c r="T76" s="761">
        <f t="shared" si="7"/>
        <v>3685.14859846431</v>
      </c>
      <c r="U76" s="764">
        <f t="shared" si="8"/>
        <v>12027.8883792224</v>
      </c>
      <c r="V76" s="528"/>
      <c r="W76" s="765"/>
    </row>
    <row r="77" ht="15.75" spans="2:23">
      <c r="B77" s="760">
        <v>19</v>
      </c>
      <c r="C77" s="760">
        <v>2043</v>
      </c>
      <c r="D77" s="761">
        <f>+'I.1 Proyecciones Población'!F41*'II. Caracterizacion RSU'!$D$47/1000</f>
        <v>883.944056568187</v>
      </c>
      <c r="E77" s="761">
        <f>+'I.1 Proyecciones Población'!F41*'II. Caracterizacion RSU'!$D$48/1000</f>
        <v>390.455088710333</v>
      </c>
      <c r="F77" s="762">
        <f t="shared" si="0"/>
        <v>1274.39914527852</v>
      </c>
      <c r="G77" s="761">
        <f t="shared" si="1"/>
        <v>322639.580647388</v>
      </c>
      <c r="H77" s="761">
        <f t="shared" si="1"/>
        <v>142516.107379271</v>
      </c>
      <c r="I77" s="762">
        <f t="shared" si="2"/>
        <v>465155.68802666</v>
      </c>
      <c r="J77" s="761">
        <f>+'I.1 Proyecciones Población'!G41*'II. Caracterizacion RSU'!$D$47/1000</f>
        <v>24.5544729206863</v>
      </c>
      <c r="K77" s="761">
        <f>+'I.1 Proyecciones Población'!G41*'II. Caracterizacion RSU'!$D$48/1000</f>
        <v>10.8461828904694</v>
      </c>
      <c r="L77" s="762">
        <f t="shared" si="3"/>
        <v>35.4006558111557</v>
      </c>
      <c r="M77" s="761">
        <f t="shared" si="4"/>
        <v>8962.38261605048</v>
      </c>
      <c r="N77" s="761">
        <f t="shared" si="4"/>
        <v>3958.85675502134</v>
      </c>
      <c r="O77" s="762">
        <f t="shared" si="5"/>
        <v>12921.2393710718</v>
      </c>
      <c r="P77" s="761">
        <f>+'I.1 Proyecciones Población'!H41*'II. Caracterizacion RSU'!$D$47/1000</f>
        <v>22.9490570423153</v>
      </c>
      <c r="Q77" s="761">
        <f>+'I.1 Proyecciones Población'!H41*'II. Caracterizacion RSU'!$D$48/1000</f>
        <v>10.1370398236107</v>
      </c>
      <c r="R77" s="762">
        <f t="shared" si="6"/>
        <v>33.086096865926</v>
      </c>
      <c r="S77" s="761">
        <f t="shared" si="7"/>
        <v>8376.40582044508</v>
      </c>
      <c r="T77" s="761">
        <f t="shared" si="7"/>
        <v>3700.01953561791</v>
      </c>
      <c r="U77" s="764">
        <f t="shared" si="8"/>
        <v>12076.425356063</v>
      </c>
      <c r="V77" s="528"/>
      <c r="W77" s="765"/>
    </row>
    <row r="78" ht="15.75" spans="2:23">
      <c r="B78" s="760">
        <v>20</v>
      </c>
      <c r="C78" s="209">
        <v>2044</v>
      </c>
      <c r="D78" s="761">
        <f>+'I.1 Proyecciones Población'!F42*'II. Caracterizacion RSU'!$D$47/1000</f>
        <v>887.086233288341</v>
      </c>
      <c r="E78" s="761">
        <f>+'I.1 Proyecciones Población'!F42*'II. Caracterizacion RSU'!$D$48/1000</f>
        <v>391.8430485941</v>
      </c>
      <c r="F78" s="762">
        <f t="shared" si="0"/>
        <v>1278.92928188244</v>
      </c>
      <c r="G78" s="761">
        <f t="shared" si="1"/>
        <v>323786.475150244</v>
      </c>
      <c r="H78" s="761">
        <f t="shared" si="1"/>
        <v>143022.712736847</v>
      </c>
      <c r="I78" s="762">
        <f t="shared" si="2"/>
        <v>466809.187887091</v>
      </c>
      <c r="J78" s="761">
        <f>+'I.1 Proyecciones Población'!G42*'II. Caracterizacion RSU'!$D$47/1000</f>
        <v>24.6417572828738</v>
      </c>
      <c r="K78" s="761">
        <f>+'I.1 Proyecciones Población'!G42*'II. Caracterizacion RSU'!$D$48/1000</f>
        <v>10.8847380717931</v>
      </c>
      <c r="L78" s="762">
        <f t="shared" si="3"/>
        <v>35.5264953546669</v>
      </c>
      <c r="M78" s="761">
        <f t="shared" si="4"/>
        <v>8994.24140824894</v>
      </c>
      <c r="N78" s="761">
        <f t="shared" si="4"/>
        <v>3972.92939620449</v>
      </c>
      <c r="O78" s="762">
        <f t="shared" si="5"/>
        <v>12967.1708044534</v>
      </c>
      <c r="P78" s="761">
        <f>+'I.1 Proyecciones Población'!H42*'II. Caracterizacion RSU'!$D$47/1000</f>
        <v>23.0306345949353</v>
      </c>
      <c r="Q78" s="761">
        <f>+'I.1 Proyecciones Población'!H42*'II. Caracterizacion RSU'!$D$48/1000</f>
        <v>10.1730741974021</v>
      </c>
      <c r="R78" s="762">
        <f t="shared" si="6"/>
        <v>33.2037087923374</v>
      </c>
      <c r="S78" s="761">
        <f t="shared" si="7"/>
        <v>8406.18162715139</v>
      </c>
      <c r="T78" s="761">
        <f t="shared" si="7"/>
        <v>3713.17208205175</v>
      </c>
      <c r="U78" s="764">
        <f t="shared" si="8"/>
        <v>12119.3537092031</v>
      </c>
      <c r="V78" s="528"/>
      <c r="W78" s="765"/>
    </row>
    <row r="79" ht="15.75" spans="2:23">
      <c r="B79" s="760">
        <v>21</v>
      </c>
      <c r="C79" s="209">
        <v>2045</v>
      </c>
      <c r="D79" s="761">
        <f>+'I.1 Proyecciones Población'!F43*'II. Caracterizacion RSU'!$D$47/1000</f>
        <v>889.85392375644</v>
      </c>
      <c r="E79" s="761">
        <f>+'I.1 Proyecciones Población'!F43*'II. Caracterizacion RSU'!$D$48/1000</f>
        <v>393.065590698676</v>
      </c>
      <c r="F79" s="762">
        <f t="shared" si="0"/>
        <v>1282.91951445512</v>
      </c>
      <c r="G79" s="761">
        <f t="shared" ref="G79:H97" si="9">+D79*365</f>
        <v>324796.682171101</v>
      </c>
      <c r="H79" s="761">
        <f t="shared" si="9"/>
        <v>143468.940605017</v>
      </c>
      <c r="I79" s="762">
        <f t="shared" si="2"/>
        <v>468265.622776118</v>
      </c>
      <c r="J79" s="761">
        <f>+'I.1 Proyecciones Población'!G43*'II. Caracterizacion RSU'!$D$47/1000</f>
        <v>24.718639049482</v>
      </c>
      <c r="K79" s="761">
        <f>+'I.1 Proyecciones Población'!G43*'II. Caracterizacion RSU'!$D$48/1000</f>
        <v>10.9186982265995</v>
      </c>
      <c r="L79" s="762">
        <f t="shared" si="3"/>
        <v>35.6373372760815</v>
      </c>
      <c r="M79" s="761">
        <f t="shared" ref="M79:N97" si="10">+J79*365</f>
        <v>9022.30325306093</v>
      </c>
      <c r="N79" s="761">
        <f t="shared" si="10"/>
        <v>3985.3248527088</v>
      </c>
      <c r="O79" s="762">
        <f t="shared" si="5"/>
        <v>13007.6281057697</v>
      </c>
      <c r="P79" s="761">
        <f>+'I.1 Proyecciones Población'!H43*'II. Caracterizacion RSU'!$D$47/1000</f>
        <v>23.1024896925016</v>
      </c>
      <c r="Q79" s="761">
        <f>+'I.1 Proyecciones Población'!H43*'II. Caracterizacion RSU'!$D$48/1000</f>
        <v>10.2048139758259</v>
      </c>
      <c r="R79" s="762">
        <f t="shared" si="6"/>
        <v>33.3073036683275</v>
      </c>
      <c r="S79" s="761">
        <f t="shared" ref="S79:T97" si="11">+P79*365</f>
        <v>8432.4087377631</v>
      </c>
      <c r="T79" s="761">
        <f t="shared" si="11"/>
        <v>3724.75710117645</v>
      </c>
      <c r="U79" s="764">
        <f t="shared" si="8"/>
        <v>12157.1658389396</v>
      </c>
      <c r="V79" s="528"/>
      <c r="W79" s="765"/>
    </row>
    <row r="80" ht="15.75" spans="2:23">
      <c r="B80" s="760">
        <v>22</v>
      </c>
      <c r="C80" s="760">
        <v>2046</v>
      </c>
      <c r="D80" s="761">
        <f>+'I.1 Proyecciones Población'!F44*'II. Caracterizacion RSU'!$D$47/1000</f>
        <v>892.3014795541</v>
      </c>
      <c r="E80" s="761">
        <f>+'I.1 Proyecciones Población'!F44*'II. Caracterizacion RSU'!$D$48/1000</f>
        <v>394.146723162883</v>
      </c>
      <c r="F80" s="762">
        <f t="shared" si="0"/>
        <v>1286.44820271698</v>
      </c>
      <c r="G80" s="761">
        <f t="shared" si="9"/>
        <v>325690.040037246</v>
      </c>
      <c r="H80" s="761">
        <f t="shared" si="9"/>
        <v>143863.553954452</v>
      </c>
      <c r="I80" s="762">
        <f t="shared" si="2"/>
        <v>469553.593991699</v>
      </c>
      <c r="J80" s="761">
        <f>+'I.1 Proyecciones Población'!G44*'II. Caracterizacion RSU'!$D$47/1000</f>
        <v>24.786628015649</v>
      </c>
      <c r="K80" s="761">
        <f>+'I.1 Proyecciones Población'!G44*'II. Caracterizacion RSU'!$D$48/1000</f>
        <v>10.9487302604355</v>
      </c>
      <c r="L80" s="762">
        <f t="shared" si="3"/>
        <v>35.7353582760845</v>
      </c>
      <c r="M80" s="761">
        <f t="shared" si="10"/>
        <v>9047.11922571187</v>
      </c>
      <c r="N80" s="761">
        <f t="shared" si="10"/>
        <v>3996.28654505897</v>
      </c>
      <c r="O80" s="762">
        <f t="shared" si="5"/>
        <v>13043.4057707708</v>
      </c>
      <c r="P80" s="761">
        <f>+'I.1 Proyecciones Población'!H44*'II. Caracterizacion RSU'!$D$47/1000</f>
        <v>23.1660334170138</v>
      </c>
      <c r="Q80" s="761">
        <f>+'I.1 Proyecciones Población'!H44*'II. Caracterizacion RSU'!$D$48/1000</f>
        <v>10.2328824609376</v>
      </c>
      <c r="R80" s="762">
        <f t="shared" si="6"/>
        <v>33.3989158779514</v>
      </c>
      <c r="S80" s="761">
        <f t="shared" si="11"/>
        <v>8455.60219721004</v>
      </c>
      <c r="T80" s="761">
        <f t="shared" si="11"/>
        <v>3735.00209824224</v>
      </c>
      <c r="U80" s="764">
        <f t="shared" si="8"/>
        <v>12190.6042954523</v>
      </c>
      <c r="V80" s="528"/>
      <c r="W80" s="765"/>
    </row>
    <row r="81" ht="15.75" spans="2:23">
      <c r="B81" s="760">
        <v>23</v>
      </c>
      <c r="C81" s="209">
        <v>2047</v>
      </c>
      <c r="D81" s="761">
        <f>+'I.1 Proyecciones Población'!F45*'II. Caracterizacion RSU'!$D$47/1000</f>
        <v>894.48228858241</v>
      </c>
      <c r="E81" s="761">
        <f>+'I.1 Proyecciones Población'!F45*'II. Caracterizacion RSU'!$D$48/1000</f>
        <v>395.110028449323</v>
      </c>
      <c r="F81" s="762">
        <f t="shared" si="0"/>
        <v>1289.59231703173</v>
      </c>
      <c r="G81" s="761">
        <f t="shared" si="9"/>
        <v>326486.03533258</v>
      </c>
      <c r="H81" s="761">
        <f t="shared" si="9"/>
        <v>144215.160384003</v>
      </c>
      <c r="I81" s="762">
        <f t="shared" si="2"/>
        <v>470701.195716583</v>
      </c>
      <c r="J81" s="761">
        <f>+'I.1 Proyecciones Población'!G45*'II. Caracterizacion RSU'!$D$47/1000</f>
        <v>24.8472072070955</v>
      </c>
      <c r="K81" s="761">
        <f>+'I.1 Proyecciones Población'!G45*'II. Caracterizacion RSU'!$D$48/1000</f>
        <v>10.9754892542819</v>
      </c>
      <c r="L81" s="762">
        <f t="shared" si="3"/>
        <v>35.8226964613774</v>
      </c>
      <c r="M81" s="761">
        <f t="shared" si="10"/>
        <v>9069.23063058985</v>
      </c>
      <c r="N81" s="761">
        <f t="shared" si="10"/>
        <v>4006.05357781289</v>
      </c>
      <c r="O81" s="762">
        <f t="shared" si="5"/>
        <v>13075.2842084027</v>
      </c>
      <c r="P81" s="761">
        <f>+'I.1 Proyecciones Población'!H45*'II. Caracterizacion RSU'!$D$47/1000</f>
        <v>23.222651831287</v>
      </c>
      <c r="Q81" s="761">
        <f>+'I.1 Proyecciones Población'!H45*'II. Caracterizacion RSU'!$D$48/1000</f>
        <v>10.2578919033378</v>
      </c>
      <c r="R81" s="762">
        <f t="shared" si="6"/>
        <v>33.4805437346247</v>
      </c>
      <c r="S81" s="761">
        <f t="shared" si="11"/>
        <v>8476.26791841975</v>
      </c>
      <c r="T81" s="761">
        <f t="shared" si="11"/>
        <v>3744.13054471828</v>
      </c>
      <c r="U81" s="764">
        <f t="shared" si="8"/>
        <v>12220.398463138</v>
      </c>
      <c r="V81" s="528"/>
      <c r="W81" s="765"/>
    </row>
    <row r="82" ht="15.75" spans="2:23">
      <c r="B82" s="760">
        <v>24</v>
      </c>
      <c r="C82" s="209">
        <v>2048</v>
      </c>
      <c r="D82" s="761">
        <f>+'I.1 Proyecciones Población'!F46*'II. Caracterizacion RSU'!$D$47/1000</f>
        <v>896.444727603733</v>
      </c>
      <c r="E82" s="761">
        <f>+'I.1 Proyecciones Población'!F46*'II. Caracterizacion RSU'!$D$48/1000</f>
        <v>395.976875504253</v>
      </c>
      <c r="F82" s="762">
        <f t="shared" si="0"/>
        <v>1292.42160310799</v>
      </c>
      <c r="G82" s="761">
        <f t="shared" si="9"/>
        <v>327202.325575362</v>
      </c>
      <c r="H82" s="761">
        <f t="shared" si="9"/>
        <v>144531.559559052</v>
      </c>
      <c r="I82" s="762">
        <f t="shared" si="2"/>
        <v>471733.885134415</v>
      </c>
      <c r="J82" s="761">
        <f>+'I.1 Proyecciones Población'!G46*'II. Caracterizacion RSU'!$D$47/1000</f>
        <v>24.9017204485721</v>
      </c>
      <c r="K82" s="761">
        <f>+'I.1 Proyecciones Población'!G46*'II. Caracterizacion RSU'!$D$48/1000</f>
        <v>10.9995688013737</v>
      </c>
      <c r="L82" s="762">
        <f t="shared" si="3"/>
        <v>35.9012892499458</v>
      </c>
      <c r="M82" s="761">
        <f t="shared" si="10"/>
        <v>9089.12796372883</v>
      </c>
      <c r="N82" s="761">
        <f t="shared" si="10"/>
        <v>4014.8426125014</v>
      </c>
      <c r="O82" s="762">
        <f t="shared" si="5"/>
        <v>13103.9705762302</v>
      </c>
      <c r="P82" s="761">
        <f>+'I.1 Proyecciones Población'!H46*'II. Caracterizacion RSU'!$D$47/1000</f>
        <v>23.2736008983775</v>
      </c>
      <c r="Q82" s="761">
        <f>+'I.1 Proyecciones Población'!H46*'II. Caracterizacion RSU'!$D$48/1000</f>
        <v>10.2803970860614</v>
      </c>
      <c r="R82" s="762">
        <f t="shared" si="6"/>
        <v>33.553997984439</v>
      </c>
      <c r="S82" s="761">
        <f t="shared" si="11"/>
        <v>8494.8643279078</v>
      </c>
      <c r="T82" s="761">
        <f t="shared" si="11"/>
        <v>3752.34493641241</v>
      </c>
      <c r="U82" s="764">
        <f t="shared" si="8"/>
        <v>12247.2092643202</v>
      </c>
      <c r="V82" s="528"/>
      <c r="W82" s="765"/>
    </row>
    <row r="83" ht="15.75" spans="2:23">
      <c r="B83" s="760">
        <v>25</v>
      </c>
      <c r="C83" s="760">
        <v>2049</v>
      </c>
      <c r="D83" s="761">
        <f>+'I.1 Proyecciones Población'!F47*'II. Caracterizacion RSU'!$D$47/1000</f>
        <v>898.22271817255</v>
      </c>
      <c r="E83" s="761">
        <f>+'I.1 Proyecciones Población'!F47*'II. Caracterizacion RSU'!$D$48/1000</f>
        <v>396.762248130626</v>
      </c>
      <c r="F83" s="762">
        <f t="shared" si="0"/>
        <v>1294.98496630318</v>
      </c>
      <c r="G83" s="761">
        <f t="shared" si="9"/>
        <v>327851.292132981</v>
      </c>
      <c r="H83" s="761">
        <f t="shared" si="9"/>
        <v>144818.220567679</v>
      </c>
      <c r="I83" s="762">
        <f t="shared" si="2"/>
        <v>472669.512700659</v>
      </c>
      <c r="J83" s="761">
        <f>+'I.1 Proyecciones Población'!G47*'II. Caracterizacion RSU'!$D$47/1000</f>
        <v>24.9511100235694</v>
      </c>
      <c r="K83" s="761">
        <f>+'I.1 Proyecciones Población'!G47*'II. Caracterizacion RSU'!$D$48/1000</f>
        <v>11.0213851264495</v>
      </c>
      <c r="L83" s="762">
        <f t="shared" si="3"/>
        <v>35.9724951500189</v>
      </c>
      <c r="M83" s="761">
        <f t="shared" si="10"/>
        <v>9107.15515860283</v>
      </c>
      <c r="N83" s="761">
        <f t="shared" si="10"/>
        <v>4022.80557115407</v>
      </c>
      <c r="O83" s="762">
        <f t="shared" si="5"/>
        <v>13129.9607297569</v>
      </c>
      <c r="P83" s="761">
        <f>+'I.1 Proyecciones Población'!H47*'II. Caracterizacion RSU'!$D$47/1000</f>
        <v>23.319761293576</v>
      </c>
      <c r="Q83" s="761">
        <f>+'I.1 Proyecciones Población'!H47*'II. Caracterizacion RSU'!$D$48/1000</f>
        <v>10.3007870203205</v>
      </c>
      <c r="R83" s="762">
        <f t="shared" si="6"/>
        <v>33.6205483138964</v>
      </c>
      <c r="S83" s="761">
        <f t="shared" si="11"/>
        <v>8511.71287215523</v>
      </c>
      <c r="T83" s="761">
        <f t="shared" si="11"/>
        <v>3759.78726241697</v>
      </c>
      <c r="U83" s="764">
        <f t="shared" si="8"/>
        <v>12271.5001345722</v>
      </c>
      <c r="V83" s="528"/>
      <c r="W83" s="765"/>
    </row>
    <row r="84" ht="15.75" spans="2:23">
      <c r="B84" s="760">
        <v>26</v>
      </c>
      <c r="C84" s="209">
        <v>2050</v>
      </c>
      <c r="D84" s="761">
        <f>+'I.1 Proyecciones Población'!F48*'II. Caracterizacion RSU'!$D$47/1000</f>
        <v>899.837461260414</v>
      </c>
      <c r="E84" s="761">
        <f>+'I.1 Proyecciones Población'!F48*'II. Caracterizacion RSU'!$D$48/1000</f>
        <v>397.475511205288</v>
      </c>
      <c r="F84" s="762">
        <f t="shared" si="0"/>
        <v>1297.3129724657</v>
      </c>
      <c r="G84" s="761">
        <f t="shared" si="9"/>
        <v>328440.673360051</v>
      </c>
      <c r="H84" s="761">
        <f t="shared" si="9"/>
        <v>145078.56158993</v>
      </c>
      <c r="I84" s="762">
        <f t="shared" si="2"/>
        <v>473519.234949981</v>
      </c>
      <c r="J84" s="761">
        <f>+'I.1 Proyecciones Población'!G48*'II. Caracterizacion RSU'!$D$47/1000</f>
        <v>24.9959648592688</v>
      </c>
      <c r="K84" s="761">
        <f>+'I.1 Proyecciones Población'!G48*'II. Caracterizacion RSU'!$D$48/1000</f>
        <v>11.0411983699709</v>
      </c>
      <c r="L84" s="762">
        <f t="shared" si="3"/>
        <v>36.0371632292397</v>
      </c>
      <c r="M84" s="761">
        <f t="shared" si="10"/>
        <v>9123.52717363311</v>
      </c>
      <c r="N84" s="761">
        <f t="shared" si="10"/>
        <v>4030.03740503939</v>
      </c>
      <c r="O84" s="762">
        <f t="shared" si="5"/>
        <v>13153.5645786725</v>
      </c>
      <c r="P84" s="761">
        <f>+'I.1 Proyecciones Población'!H48*'II. Caracterizacion RSU'!$D$47/1000</f>
        <v>23.3616834389388</v>
      </c>
      <c r="Q84" s="761">
        <f>+'I.1 Proyecciones Población'!H48*'II. Caracterizacion RSU'!$D$48/1000</f>
        <v>10.3193048381223</v>
      </c>
      <c r="R84" s="762">
        <f t="shared" si="6"/>
        <v>33.6809882770612</v>
      </c>
      <c r="S84" s="761">
        <f t="shared" si="11"/>
        <v>8527.01445521267</v>
      </c>
      <c r="T84" s="761">
        <f t="shared" si="11"/>
        <v>3766.54626591465</v>
      </c>
      <c r="U84" s="764">
        <f t="shared" si="8"/>
        <v>12293.5607211273</v>
      </c>
      <c r="V84" s="528"/>
      <c r="W84" s="765"/>
    </row>
    <row r="85" ht="15.75" spans="2:23">
      <c r="B85" s="760">
        <v>27</v>
      </c>
      <c r="C85" s="209">
        <v>2051</v>
      </c>
      <c r="D85" s="761">
        <f>+'I.1 Proyecciones Población'!F49*'II. Caracterizacion RSU'!$D$47/1000</f>
        <v>901.287029506276</v>
      </c>
      <c r="E85" s="761">
        <f>+'I.1 Proyecciones Población'!F49*'II. Caracterizacion RSU'!$D$48/1000</f>
        <v>398.115813375797</v>
      </c>
      <c r="F85" s="762">
        <f t="shared" si="0"/>
        <v>1299.40284288207</v>
      </c>
      <c r="G85" s="761">
        <f t="shared" si="9"/>
        <v>328969.765769791</v>
      </c>
      <c r="H85" s="761">
        <f t="shared" si="9"/>
        <v>145312.271882166</v>
      </c>
      <c r="I85" s="762">
        <f t="shared" si="2"/>
        <v>474282.037651957</v>
      </c>
      <c r="J85" s="761">
        <f>+'I.1 Proyecciones Población'!G49*'II. Caracterizacion RSU'!$D$47/1000</f>
        <v>25.0362314168357</v>
      </c>
      <c r="K85" s="761">
        <f>+'I.1 Proyecciones Población'!G49*'II. Caracterizacion RSU'!$D$48/1000</f>
        <v>11.0589848828051</v>
      </c>
      <c r="L85" s="762">
        <f t="shared" si="3"/>
        <v>36.0952162996408</v>
      </c>
      <c r="M85" s="761">
        <f t="shared" si="10"/>
        <v>9138.22446714502</v>
      </c>
      <c r="N85" s="761">
        <f t="shared" si="10"/>
        <v>4036.52948222386</v>
      </c>
      <c r="O85" s="762">
        <f t="shared" si="5"/>
        <v>13174.7539493689</v>
      </c>
      <c r="P85" s="761">
        <f>+'I.1 Proyecciones Población'!H49*'II. Caracterizacion RSU'!$D$47/1000</f>
        <v>23.3993172960973</v>
      </c>
      <c r="Q85" s="761">
        <f>+'I.1 Proyecciones Población'!H49*'II. Caracterizacion RSU'!$D$48/1000</f>
        <v>10.3359284365573</v>
      </c>
      <c r="R85" s="762">
        <f t="shared" si="6"/>
        <v>33.7352457326546</v>
      </c>
      <c r="S85" s="761">
        <f t="shared" si="11"/>
        <v>8540.75081307553</v>
      </c>
      <c r="T85" s="761">
        <f t="shared" si="11"/>
        <v>3772.61387934341</v>
      </c>
      <c r="U85" s="764">
        <f t="shared" si="8"/>
        <v>12313.3646924189</v>
      </c>
      <c r="V85" s="528"/>
      <c r="W85" s="765"/>
    </row>
    <row r="86" ht="15.75" spans="2:23">
      <c r="B86" s="760">
        <v>28</v>
      </c>
      <c r="C86" s="760">
        <v>2052</v>
      </c>
      <c r="D86" s="761">
        <f>+'I.1 Proyecciones Población'!F50*'II. Caracterizacion RSU'!$D$47/1000</f>
        <v>902.556774966153</v>
      </c>
      <c r="E86" s="761">
        <f>+'I.1 Proyecciones Población'!F50*'II. Caracterizacion RSU'!$D$48/1000</f>
        <v>398.676684363607</v>
      </c>
      <c r="F86" s="762">
        <f t="shared" si="0"/>
        <v>1301.23345932976</v>
      </c>
      <c r="G86" s="761">
        <f t="shared" si="9"/>
        <v>329433.222862646</v>
      </c>
      <c r="H86" s="761">
        <f t="shared" si="9"/>
        <v>145516.989792717</v>
      </c>
      <c r="I86" s="762">
        <f t="shared" si="2"/>
        <v>474950.212655362</v>
      </c>
      <c r="J86" s="761">
        <f>+'I.1 Proyecciones Población'!G50*'II. Caracterizacion RSU'!$D$47/1000</f>
        <v>25.0715028011264</v>
      </c>
      <c r="K86" s="761">
        <f>+'I.1 Proyecciones Población'!G50*'II. Caracterizacion RSU'!$D$48/1000</f>
        <v>11.0745649315422</v>
      </c>
      <c r="L86" s="762">
        <f t="shared" si="3"/>
        <v>36.1460677326686</v>
      </c>
      <c r="M86" s="761">
        <f t="shared" si="10"/>
        <v>9151.09852241113</v>
      </c>
      <c r="N86" s="761">
        <f t="shared" si="10"/>
        <v>4042.21620001289</v>
      </c>
      <c r="O86" s="762">
        <f t="shared" si="5"/>
        <v>13193.314722424</v>
      </c>
      <c r="P86" s="761">
        <f>+'I.1 Proyecciones Población'!H50*'II. Caracterizacion RSU'!$D$47/1000</f>
        <v>23.4322825734488</v>
      </c>
      <c r="Q86" s="761">
        <f>+'I.1 Proyecciones Población'!H50*'II. Caracterizacion RSU'!$D$48/1000</f>
        <v>10.3504898335111</v>
      </c>
      <c r="R86" s="762">
        <f t="shared" si="6"/>
        <v>33.7827724069599</v>
      </c>
      <c r="S86" s="761">
        <f t="shared" si="11"/>
        <v>8552.78313930881</v>
      </c>
      <c r="T86" s="761">
        <f t="shared" si="11"/>
        <v>3777.92878923154</v>
      </c>
      <c r="U86" s="764">
        <f t="shared" si="8"/>
        <v>12330.7119285403</v>
      </c>
      <c r="V86" s="528"/>
      <c r="W86" s="765"/>
    </row>
    <row r="87" ht="15.75" spans="2:23">
      <c r="B87" s="760">
        <v>29</v>
      </c>
      <c r="C87" s="209">
        <v>2053</v>
      </c>
      <c r="D87" s="761">
        <f>+'I.1 Proyecciones Población'!F51*'II. Caracterizacion RSU'!$D$47/1000</f>
        <v>903.605837585782</v>
      </c>
      <c r="E87" s="761">
        <f>+'I.1 Proyecciones Población'!F51*'II. Caracterizacion RSU'!$D$48/1000</f>
        <v>399.140075496978</v>
      </c>
      <c r="F87" s="762">
        <f t="shared" si="0"/>
        <v>1302.74591308276</v>
      </c>
      <c r="G87" s="761">
        <f t="shared" si="9"/>
        <v>329816.13071881</v>
      </c>
      <c r="H87" s="761">
        <f t="shared" si="9"/>
        <v>145686.127556397</v>
      </c>
      <c r="I87" s="762">
        <f t="shared" si="2"/>
        <v>475502.258275207</v>
      </c>
      <c r="J87" s="761">
        <f>+'I.1 Proyecciones Población'!G51*'II. Caracterizacion RSU'!$D$47/1000</f>
        <v>25.1006439888456</v>
      </c>
      <c r="K87" s="761">
        <f>+'I.1 Proyecciones Población'!G51*'II. Caracterizacion RSU'!$D$48/1000</f>
        <v>11.0874371545652</v>
      </c>
      <c r="L87" s="762">
        <f t="shared" si="3"/>
        <v>36.1880811434109</v>
      </c>
      <c r="M87" s="761">
        <f t="shared" si="10"/>
        <v>9161.73505592866</v>
      </c>
      <c r="N87" s="761">
        <f t="shared" si="10"/>
        <v>4046.9145614163</v>
      </c>
      <c r="O87" s="762">
        <f t="shared" si="5"/>
        <v>13208.649617345</v>
      </c>
      <c r="P87" s="761">
        <f>+'I.1 Proyecciones Población'!H51*'II. Caracterizacion RSU'!$D$47/1000</f>
        <v>23.4595184575751</v>
      </c>
      <c r="Q87" s="761">
        <f>+'I.1 Proyecciones Población'!H51*'II. Caracterizacion RSU'!$D$48/1000</f>
        <v>10.3625204472966</v>
      </c>
      <c r="R87" s="762">
        <f t="shared" si="6"/>
        <v>33.8220389048717</v>
      </c>
      <c r="S87" s="761">
        <f t="shared" si="11"/>
        <v>8562.72423701491</v>
      </c>
      <c r="T87" s="761">
        <f t="shared" si="11"/>
        <v>3782.31996326327</v>
      </c>
      <c r="U87" s="764">
        <f t="shared" si="8"/>
        <v>12345.0442002782</v>
      </c>
      <c r="V87" s="528"/>
      <c r="W87" s="765"/>
    </row>
    <row r="88" ht="15.75" spans="2:23">
      <c r="B88" s="760">
        <v>30</v>
      </c>
      <c r="C88" s="209">
        <v>2054</v>
      </c>
      <c r="D88" s="761">
        <f>+'I.1 Proyecciones Población'!F52*'II. Caracterizacion RSU'!$D$47/1000</f>
        <v>904.38121493628</v>
      </c>
      <c r="E88" s="761">
        <f>+'I.1 Proyecciones Población'!F52*'II. Caracterizacion RSU'!$D$48/1000</f>
        <v>399.482574583796</v>
      </c>
      <c r="F88" s="762">
        <f t="shared" si="0"/>
        <v>1303.86378952008</v>
      </c>
      <c r="G88" s="761">
        <f t="shared" si="9"/>
        <v>330099.143451742</v>
      </c>
      <c r="H88" s="761">
        <f t="shared" si="9"/>
        <v>145811.139723086</v>
      </c>
      <c r="I88" s="762">
        <f t="shared" si="2"/>
        <v>475910.283174828</v>
      </c>
      <c r="J88" s="761">
        <f>+'I.1 Proyecciones Población'!G52*'II. Caracterizacion RSU'!$D$47/1000</f>
        <v>25.1221826620396</v>
      </c>
      <c r="K88" s="761">
        <f>+'I.1 Proyecciones Población'!G52*'II. Caracterizacion RSU'!$D$48/1000</f>
        <v>11.0969512007202</v>
      </c>
      <c r="L88" s="762">
        <f t="shared" si="3"/>
        <v>36.2191338627598</v>
      </c>
      <c r="M88" s="761">
        <f t="shared" si="10"/>
        <v>9169.59667164444</v>
      </c>
      <c r="N88" s="761">
        <f t="shared" si="10"/>
        <v>4050.38718826288</v>
      </c>
      <c r="O88" s="762">
        <f t="shared" si="5"/>
        <v>13219.9838599073</v>
      </c>
      <c r="P88" s="761">
        <f>+'I.1 Proyecciones Población'!H52*'II. Caracterizacion RSU'!$D$47/1000</f>
        <v>23.4796488933348</v>
      </c>
      <c r="Q88" s="761">
        <f>+'I.1 Proyecciones Población'!H52*'II. Caracterizacion RSU'!$D$48/1000</f>
        <v>10.3714124478955</v>
      </c>
      <c r="R88" s="762">
        <f t="shared" si="6"/>
        <v>33.8510613412303</v>
      </c>
      <c r="S88" s="761">
        <f t="shared" si="11"/>
        <v>8570.0718460672</v>
      </c>
      <c r="T88" s="761">
        <f t="shared" si="11"/>
        <v>3785.56554348184</v>
      </c>
      <c r="U88" s="764">
        <f t="shared" si="8"/>
        <v>12355.637389549</v>
      </c>
      <c r="V88" s="528"/>
      <c r="W88" s="765"/>
    </row>
    <row r="89" ht="15.75" spans="2:23">
      <c r="B89" s="760">
        <v>31</v>
      </c>
      <c r="C89" s="760">
        <v>2055</v>
      </c>
      <c r="D89" s="761">
        <f>+'I.1 Proyecciones Población'!F53*'II. Caracterizacion RSU'!$D$47/1000</f>
        <v>904.834915727499</v>
      </c>
      <c r="E89" s="761">
        <f>+'I.1 Proyecciones Población'!F53*'II. Caracterizacion RSU'!$D$48/1000</f>
        <v>399.682982948293</v>
      </c>
      <c r="F89" s="762">
        <f t="shared" si="0"/>
        <v>1304.51789867579</v>
      </c>
      <c r="G89" s="761">
        <f t="shared" si="9"/>
        <v>330264.744240537</v>
      </c>
      <c r="H89" s="761">
        <f t="shared" si="9"/>
        <v>145884.288776127</v>
      </c>
      <c r="I89" s="762">
        <f t="shared" si="2"/>
        <v>476149.033016664</v>
      </c>
      <c r="J89" s="761">
        <f>+'I.1 Proyecciones Población'!G53*'II. Caracterizacion RSU'!$D$47/1000</f>
        <v>25.1347857037245</v>
      </c>
      <c r="K89" s="761">
        <f>+'I.1 Proyecciones Población'!G53*'II. Caracterizacion RSU'!$D$48/1000</f>
        <v>11.1025182065986</v>
      </c>
      <c r="L89" s="762">
        <f t="shared" si="3"/>
        <v>36.2373039103232</v>
      </c>
      <c r="M89" s="761">
        <f t="shared" si="10"/>
        <v>9174.19678185945</v>
      </c>
      <c r="N89" s="761">
        <f t="shared" si="10"/>
        <v>4052.41914540851</v>
      </c>
      <c r="O89" s="762">
        <f t="shared" si="5"/>
        <v>13226.615927268</v>
      </c>
      <c r="P89" s="761">
        <f>+'I.1 Proyecciones Población'!H53*'II. Caracterizacion RSU'!$D$47/1000</f>
        <v>23.4914279253453</v>
      </c>
      <c r="Q89" s="761">
        <f>+'I.1 Proyecciones Población'!H53*'II. Caracterizacion RSU'!$D$48/1000</f>
        <v>10.3766154728544</v>
      </c>
      <c r="R89" s="762">
        <f t="shared" si="6"/>
        <v>33.8680433981997</v>
      </c>
      <c r="S89" s="761">
        <f t="shared" si="11"/>
        <v>8574.37119275104</v>
      </c>
      <c r="T89" s="761">
        <f t="shared" si="11"/>
        <v>3787.46464759184</v>
      </c>
      <c r="U89" s="764">
        <f t="shared" si="8"/>
        <v>12361.8358403429</v>
      </c>
      <c r="V89" s="528"/>
      <c r="W89" s="765"/>
    </row>
    <row r="90" ht="15.75" spans="2:23">
      <c r="B90" s="760">
        <v>32</v>
      </c>
      <c r="C90" s="209">
        <v>2056</v>
      </c>
      <c r="D90" s="761">
        <f>+'I.1 Proyecciones Población'!F54*'II. Caracterizacion RSU'!$D$47/1000</f>
        <v>904.939185960316</v>
      </c>
      <c r="E90" s="761">
        <f>+'I.1 Proyecciones Población'!F54*'II. Caracterizacion RSU'!$D$48/1000</f>
        <v>399.729041115324</v>
      </c>
      <c r="F90" s="762">
        <f t="shared" si="0"/>
        <v>1304.66822707564</v>
      </c>
      <c r="G90" s="761">
        <f t="shared" si="9"/>
        <v>330302.802875515</v>
      </c>
      <c r="H90" s="761">
        <f t="shared" si="9"/>
        <v>145901.100007093</v>
      </c>
      <c r="I90" s="762">
        <f t="shared" si="2"/>
        <v>476203.902882609</v>
      </c>
      <c r="J90" s="761">
        <f>+'I.1 Proyecciones Población'!G54*'II. Caracterizacion RSU'!$D$47/1000</f>
        <v>25.137682154681</v>
      </c>
      <c r="K90" s="761">
        <f>+'I.1 Proyecciones Población'!G54*'II. Caracterizacion RSU'!$D$48/1000</f>
        <v>11.1037976246871</v>
      </c>
      <c r="L90" s="762">
        <f t="shared" si="3"/>
        <v>36.2414797793681</v>
      </c>
      <c r="M90" s="761">
        <f t="shared" si="10"/>
        <v>9175.25398645856</v>
      </c>
      <c r="N90" s="761">
        <f t="shared" si="10"/>
        <v>4052.88613301079</v>
      </c>
      <c r="O90" s="762">
        <f t="shared" si="5"/>
        <v>13228.1401194694</v>
      </c>
      <c r="P90" s="761">
        <f>+'I.1 Proyecciones Población'!H54*'II. Caracterizacion RSU'!$D$47/1000</f>
        <v>23.4941350010963</v>
      </c>
      <c r="Q90" s="761">
        <f>+'I.1 Proyecciones Población'!H54*'II. Caracterizacion RSU'!$D$48/1000</f>
        <v>10.3778112402727</v>
      </c>
      <c r="R90" s="762">
        <f t="shared" si="6"/>
        <v>33.8719462413689</v>
      </c>
      <c r="S90" s="761">
        <f t="shared" si="11"/>
        <v>8575.35927540013</v>
      </c>
      <c r="T90" s="761">
        <f t="shared" si="11"/>
        <v>3787.90110269953</v>
      </c>
      <c r="U90" s="764">
        <f t="shared" si="8"/>
        <v>12363.2603780997</v>
      </c>
      <c r="V90" s="528"/>
      <c r="W90" s="765"/>
    </row>
    <row r="91" ht="15.75" spans="2:23">
      <c r="B91" s="760">
        <v>33</v>
      </c>
      <c r="C91" s="209">
        <v>2057</v>
      </c>
      <c r="D91" s="761">
        <f>+'I.1 Proyecciones Población'!F55*'II. Caracterizacion RSU'!$D$47/1000</f>
        <v>904.678606746327</v>
      </c>
      <c r="E91" s="761">
        <f>+'I.1 Proyecciones Población'!F55*'II. Caracterizacion RSU'!$D$48/1000</f>
        <v>399.613938265367</v>
      </c>
      <c r="F91" s="762">
        <f t="shared" si="0"/>
        <v>1304.29254501169</v>
      </c>
      <c r="G91" s="761">
        <f t="shared" si="9"/>
        <v>330207.69146241</v>
      </c>
      <c r="H91" s="761">
        <f t="shared" si="9"/>
        <v>145859.087466859</v>
      </c>
      <c r="I91" s="762">
        <f t="shared" si="2"/>
        <v>476066.778929268</v>
      </c>
      <c r="J91" s="761">
        <f>+'I.1 Proyecciones Población'!G55*'II. Caracterizacion RSU'!$D$47/1000</f>
        <v>25.1304437042315</v>
      </c>
      <c r="K91" s="761">
        <f>+'I.1 Proyecciones Población'!G55*'II. Caracterizacion RSU'!$D$48/1000</f>
        <v>11.1006002619226</v>
      </c>
      <c r="L91" s="762">
        <f t="shared" si="3"/>
        <v>36.2310439661541</v>
      </c>
      <c r="M91" s="761">
        <f t="shared" si="10"/>
        <v>9172.61195204451</v>
      </c>
      <c r="N91" s="761">
        <f t="shared" si="10"/>
        <v>4051.71909560175</v>
      </c>
      <c r="O91" s="762">
        <f t="shared" si="5"/>
        <v>13224.3310476463</v>
      </c>
      <c r="P91" s="761">
        <f>+'I.1 Proyecciones Población'!H55*'II. Caracterizacion RSU'!$D$47/1000</f>
        <v>23.4873698136374</v>
      </c>
      <c r="Q91" s="761">
        <f>+'I.1 Proyecciones Población'!H55*'II. Caracterizacion RSU'!$D$48/1000</f>
        <v>10.3748229268723</v>
      </c>
      <c r="R91" s="762">
        <f t="shared" si="6"/>
        <v>33.8621927405097</v>
      </c>
      <c r="S91" s="761">
        <f t="shared" si="11"/>
        <v>8572.88998197764</v>
      </c>
      <c r="T91" s="761">
        <f t="shared" si="11"/>
        <v>3786.81036830841</v>
      </c>
      <c r="U91" s="764">
        <f t="shared" si="8"/>
        <v>12359.700350286</v>
      </c>
      <c r="V91" s="528"/>
      <c r="W91" s="765"/>
    </row>
    <row r="92" ht="15.75" spans="2:23">
      <c r="B92" s="760">
        <v>34</v>
      </c>
      <c r="C92" s="760">
        <v>2058</v>
      </c>
      <c r="D92" s="761">
        <f>+'I.1 Proyecciones Población'!F56*'II. Caracterizacion RSU'!$D$47/1000</f>
        <v>904.062236682471</v>
      </c>
      <c r="E92" s="761">
        <f>+'I.1 Proyecciones Población'!F56*'II. Caracterizacion RSU'!$D$48/1000</f>
        <v>399.341675754891</v>
      </c>
      <c r="F92" s="762">
        <f t="shared" si="0"/>
        <v>1303.40391243736</v>
      </c>
      <c r="G92" s="761">
        <f t="shared" si="9"/>
        <v>329982.716389102</v>
      </c>
      <c r="H92" s="761">
        <f t="shared" si="9"/>
        <v>145759.711650535</v>
      </c>
      <c r="I92" s="762">
        <f t="shared" si="2"/>
        <v>475742.428039637</v>
      </c>
      <c r="J92" s="761">
        <f>+'I.1 Proyecciones Población'!G56*'II. Caracterizacion RSU'!$D$47/1000</f>
        <v>25.1133219848991</v>
      </c>
      <c r="K92" s="761">
        <f>+'I.1 Proyecciones Población'!G56*'II. Caracterizacion RSU'!$D$48/1000</f>
        <v>11.0930372692297</v>
      </c>
      <c r="L92" s="762">
        <f t="shared" si="3"/>
        <v>36.2063592541288</v>
      </c>
      <c r="M92" s="761">
        <f t="shared" si="10"/>
        <v>9166.36252448819</v>
      </c>
      <c r="N92" s="761">
        <f t="shared" si="10"/>
        <v>4048.95860326883</v>
      </c>
      <c r="O92" s="762">
        <f t="shared" si="5"/>
        <v>13215.321127757</v>
      </c>
      <c r="P92" s="761">
        <f>+'I.1 Proyecciones Población'!H56*'II. Caracterizacion RSU'!$D$47/1000</f>
        <v>23.4713675433019</v>
      </c>
      <c r="Q92" s="761">
        <f>+'I.1 Proyecciones Población'!H56*'II. Caracterizacion RSU'!$D$48/1000</f>
        <v>10.3677544163292</v>
      </c>
      <c r="R92" s="762">
        <f t="shared" si="6"/>
        <v>33.8391219596311</v>
      </c>
      <c r="S92" s="761">
        <f t="shared" si="11"/>
        <v>8567.0491533052</v>
      </c>
      <c r="T92" s="761">
        <f t="shared" si="11"/>
        <v>3784.23036196016</v>
      </c>
      <c r="U92" s="764">
        <f t="shared" si="8"/>
        <v>12351.2795152654</v>
      </c>
      <c r="V92" s="528"/>
      <c r="W92" s="765"/>
    </row>
    <row r="93" ht="15.75" spans="2:23">
      <c r="B93" s="760">
        <v>35</v>
      </c>
      <c r="C93" s="209">
        <v>2059</v>
      </c>
      <c r="D93" s="761">
        <f>+'I.1 Proyecciones Población'!F57*'II. Caracterizacion RSU'!$D$47/1000</f>
        <v>903.115131462399</v>
      </c>
      <c r="E93" s="761">
        <f>+'I.1 Proyecciones Población'!F57*'II. Caracterizacion RSU'!$D$48/1000</f>
        <v>398.923321165623</v>
      </c>
      <c r="F93" s="762">
        <f t="shared" si="0"/>
        <v>1302.03845262802</v>
      </c>
      <c r="G93" s="761">
        <f t="shared" si="9"/>
        <v>329637.022983775</v>
      </c>
      <c r="H93" s="761">
        <f t="shared" si="9"/>
        <v>145607.012225453</v>
      </c>
      <c r="I93" s="762">
        <f t="shared" si="2"/>
        <v>475244.035209228</v>
      </c>
      <c r="J93" s="761">
        <f>+'I.1 Proyecciones Población'!G57*'II. Caracterizacion RSU'!$D$47/1000</f>
        <v>25.0870130015347</v>
      </c>
      <c r="K93" s="761">
        <f>+'I.1 Proyecciones Población'!G57*'II. Caracterizacion RSU'!$D$48/1000</f>
        <v>11.0814160853356</v>
      </c>
      <c r="L93" s="762">
        <f t="shared" si="3"/>
        <v>36.1684290868704</v>
      </c>
      <c r="M93" s="761">
        <f t="shared" si="10"/>
        <v>9156.75974556018</v>
      </c>
      <c r="N93" s="761">
        <f t="shared" si="10"/>
        <v>4044.7168711475</v>
      </c>
      <c r="O93" s="762">
        <f t="shared" si="5"/>
        <v>13201.4766167077</v>
      </c>
      <c r="P93" s="761">
        <f>+'I.1 Proyecciones Población'!H57*'II. Caracterizacion RSU'!$D$47/1000</f>
        <v>23.446778688884</v>
      </c>
      <c r="Q93" s="761">
        <f>+'I.1 Proyecciones Población'!H57*'II. Caracterizacion RSU'!$D$48/1000</f>
        <v>10.3568930464702</v>
      </c>
      <c r="R93" s="762">
        <f t="shared" si="6"/>
        <v>33.8036717353543</v>
      </c>
      <c r="S93" s="761">
        <f t="shared" si="11"/>
        <v>8558.07422144267</v>
      </c>
      <c r="T93" s="761">
        <f t="shared" si="11"/>
        <v>3780.26596196164</v>
      </c>
      <c r="U93" s="764">
        <f t="shared" si="8"/>
        <v>12338.3401834043</v>
      </c>
      <c r="V93" s="528"/>
      <c r="W93" s="765"/>
    </row>
    <row r="94" ht="15.75" spans="2:23">
      <c r="B94" s="760">
        <v>36</v>
      </c>
      <c r="C94" s="209">
        <v>2060</v>
      </c>
      <c r="D94" s="761">
        <f>+'I.1 Proyecciones Población'!F58*'II. Caracterizacion RSU'!$D$47/1000</f>
        <v>901.874296418275</v>
      </c>
      <c r="E94" s="761">
        <f>+'I.1 Proyecciones Población'!F58*'II. Caracterizacion RSU'!$D$48/1000</f>
        <v>398.375220464421</v>
      </c>
      <c r="F94" s="762">
        <f t="shared" si="0"/>
        <v>1300.2495168827</v>
      </c>
      <c r="G94" s="761">
        <f t="shared" si="9"/>
        <v>329184.11819267</v>
      </c>
      <c r="H94" s="761">
        <f t="shared" si="9"/>
        <v>145406.955469514</v>
      </c>
      <c r="I94" s="762">
        <f t="shared" si="2"/>
        <v>474591.073662184</v>
      </c>
      <c r="J94" s="761">
        <f>+'I.1 Proyecciones Población'!G58*'II. Caracterizacion RSU'!$D$47/1000</f>
        <v>25.0525446997643</v>
      </c>
      <c r="K94" s="761">
        <f>+'I.1 Proyecciones Población'!G58*'II. Caracterizacion RSU'!$D$48/1000</f>
        <v>11.0661907735917</v>
      </c>
      <c r="L94" s="762">
        <f t="shared" si="3"/>
        <v>36.118735473356</v>
      </c>
      <c r="M94" s="761">
        <f t="shared" si="10"/>
        <v>9144.17881541397</v>
      </c>
      <c r="N94" s="761">
        <f t="shared" si="10"/>
        <v>4039.15963236096</v>
      </c>
      <c r="O94" s="762">
        <f t="shared" si="5"/>
        <v>13183.3384477749</v>
      </c>
      <c r="P94" s="761">
        <f>+'I.1 Proyecciones Población'!H58*'II. Caracterizacion RSU'!$D$47/1000</f>
        <v>23.4145639870642</v>
      </c>
      <c r="Q94" s="761">
        <f>+'I.1 Proyecciones Población'!H58*'II. Caracterizacion RSU'!$D$48/1000</f>
        <v>10.342663193163</v>
      </c>
      <c r="R94" s="762">
        <f t="shared" si="6"/>
        <v>33.7572271802272</v>
      </c>
      <c r="S94" s="761">
        <f t="shared" si="11"/>
        <v>8546.31585527845</v>
      </c>
      <c r="T94" s="761">
        <f t="shared" si="11"/>
        <v>3775.07206550448</v>
      </c>
      <c r="U94" s="764">
        <f t="shared" si="8"/>
        <v>12321.3879207829</v>
      </c>
      <c r="V94" s="528"/>
      <c r="W94" s="765"/>
    </row>
    <row r="95" ht="15.75" spans="2:23">
      <c r="B95" s="760">
        <v>37</v>
      </c>
      <c r="C95" s="760">
        <v>2061</v>
      </c>
      <c r="D95" s="761">
        <f>+'I.1 Proyecciones Población'!F59*'II. Caracterizacion RSU'!$D$47/1000</f>
        <v>900.371533007427</v>
      </c>
      <c r="E95" s="761">
        <f>+'I.1 Proyecciones Población'!F59*'II. Caracterizacion RSU'!$D$48/1000</f>
        <v>397.711420966554</v>
      </c>
      <c r="F95" s="762">
        <f t="shared" si="0"/>
        <v>1298.08295397398</v>
      </c>
      <c r="G95" s="761">
        <f t="shared" si="9"/>
        <v>328635.609547711</v>
      </c>
      <c r="H95" s="761">
        <f t="shared" si="9"/>
        <v>145164.668652792</v>
      </c>
      <c r="I95" s="762">
        <f t="shared" si="2"/>
        <v>473800.278200503</v>
      </c>
      <c r="J95" s="761">
        <f>+'I.1 Proyecciones Población'!G59*'II. Caracterizacion RSU'!$D$47/1000</f>
        <v>25.0108004703601</v>
      </c>
      <c r="K95" s="761">
        <f>+'I.1 Proyecciones Población'!G59*'II. Caracterizacion RSU'!$D$48/1000</f>
        <v>11.0477515446902</v>
      </c>
      <c r="L95" s="762">
        <f t="shared" si="3"/>
        <v>36.0585520150503</v>
      </c>
      <c r="M95" s="761">
        <f t="shared" si="10"/>
        <v>9128.94217168144</v>
      </c>
      <c r="N95" s="761">
        <f t="shared" si="10"/>
        <v>4032.42931381192</v>
      </c>
      <c r="O95" s="762">
        <f t="shared" si="5"/>
        <v>13161.3714854934</v>
      </c>
      <c r="P95" s="761">
        <f>+'I.1 Proyecciones Población'!H59*'II. Caracterizacion RSU'!$D$47/1000</f>
        <v>23.3755490709274</v>
      </c>
      <c r="Q95" s="761">
        <f>+'I.1 Proyecciones Población'!H59*'II. Caracterizacion RSU'!$D$48/1000</f>
        <v>10.3254295544185</v>
      </c>
      <c r="R95" s="762">
        <f t="shared" si="6"/>
        <v>33.7009786253459</v>
      </c>
      <c r="S95" s="761">
        <f t="shared" si="11"/>
        <v>8532.07541088851</v>
      </c>
      <c r="T95" s="761">
        <f t="shared" si="11"/>
        <v>3768.78178736274</v>
      </c>
      <c r="U95" s="764">
        <f t="shared" si="8"/>
        <v>12300.8571982513</v>
      </c>
      <c r="V95" s="528"/>
      <c r="W95" s="765"/>
    </row>
    <row r="96" ht="15.75" spans="2:23">
      <c r="B96" s="760">
        <v>38</v>
      </c>
      <c r="C96" s="209">
        <v>2062</v>
      </c>
      <c r="D96" s="761">
        <f>+'I.1 Proyecciones Población'!F60*'II. Caracterizacion RSU'!$D$47/1000</f>
        <v>898.64461750644</v>
      </c>
      <c r="E96" s="761">
        <f>+'I.1 Proyecciones Población'!F60*'II. Caracterizacion RSU'!$D$48/1000</f>
        <v>396.948609179854</v>
      </c>
      <c r="F96" s="762">
        <f t="shared" si="0"/>
        <v>1295.59322668629</v>
      </c>
      <c r="G96" s="761">
        <f t="shared" si="9"/>
        <v>328005.285389851</v>
      </c>
      <c r="H96" s="761">
        <f t="shared" si="9"/>
        <v>144886.242350647</v>
      </c>
      <c r="I96" s="762">
        <f t="shared" si="2"/>
        <v>472891.527740498</v>
      </c>
      <c r="J96" s="761">
        <f>+'I.1 Proyecciones Población'!G60*'II. Caracterizacion RSU'!$D$47/1000</f>
        <v>24.962829674482</v>
      </c>
      <c r="K96" s="761">
        <f>+'I.1 Proyecciones Población'!G60*'II. Caracterizacion RSU'!$D$48/1000</f>
        <v>11.0265619216355</v>
      </c>
      <c r="L96" s="762">
        <f t="shared" si="3"/>
        <v>35.9893915961175</v>
      </c>
      <c r="M96" s="761">
        <f t="shared" si="10"/>
        <v>9111.43283118594</v>
      </c>
      <c r="N96" s="761">
        <f t="shared" si="10"/>
        <v>4024.69510139697</v>
      </c>
      <c r="O96" s="762">
        <f t="shared" si="5"/>
        <v>13136.1279325829</v>
      </c>
      <c r="P96" s="761">
        <f>+'I.1 Proyecciones Población'!H60*'II. Caracterizacion RSU'!$D$47/1000</f>
        <v>23.3307146925016</v>
      </c>
      <c r="Q96" s="761">
        <f>+'I.1 Proyecciones Población'!H60*'II. Caracterizacion RSU'!$D$48/1000</f>
        <v>10.3056253472682</v>
      </c>
      <c r="R96" s="762">
        <f t="shared" si="6"/>
        <v>33.6363400397699</v>
      </c>
      <c r="S96" s="761">
        <f t="shared" si="11"/>
        <v>8515.7108627631</v>
      </c>
      <c r="T96" s="761">
        <f t="shared" si="11"/>
        <v>3761.5532517529</v>
      </c>
      <c r="U96" s="764">
        <f t="shared" si="8"/>
        <v>12277.264114516</v>
      </c>
      <c r="V96" s="528"/>
      <c r="W96" s="765"/>
    </row>
    <row r="97" ht="15.75" spans="2:23">
      <c r="B97" s="760">
        <v>39</v>
      </c>
      <c r="C97" s="209">
        <v>2063</v>
      </c>
      <c r="D97" s="761">
        <f>+'I.1 Proyecciones Población'!F61*'II. Caracterizacion RSU'!$D$47/1000</f>
        <v>896.734795441789</v>
      </c>
      <c r="E97" s="761">
        <f>+'I.1 Proyecciones Población'!F61*'II. Caracterizacion RSU'!$D$48/1000</f>
        <v>396.105004046551</v>
      </c>
      <c r="F97" s="762">
        <f t="shared" si="0"/>
        <v>1292.83979948834</v>
      </c>
      <c r="G97" s="761">
        <f t="shared" si="9"/>
        <v>327308.200336253</v>
      </c>
      <c r="H97" s="761">
        <f t="shared" si="9"/>
        <v>144578.326476991</v>
      </c>
      <c r="I97" s="762">
        <f t="shared" si="2"/>
        <v>471886.526813244</v>
      </c>
      <c r="J97" s="761">
        <f>+'I.1 Proyecciones Población'!G61*'II. Caracterizacion RSU'!$D$47/1000</f>
        <v>24.9097780431923</v>
      </c>
      <c r="K97" s="761">
        <f>+'I.1 Proyecciones Población'!G61*'II. Caracterizacion RSU'!$D$48/1000</f>
        <v>11.0031279958712</v>
      </c>
      <c r="L97" s="762">
        <f t="shared" si="3"/>
        <v>35.9129060390635</v>
      </c>
      <c r="M97" s="761">
        <f t="shared" si="10"/>
        <v>9092.06898576518</v>
      </c>
      <c r="N97" s="761">
        <f t="shared" si="10"/>
        <v>4016.14171849298</v>
      </c>
      <c r="O97" s="762">
        <f t="shared" si="5"/>
        <v>13108.2107042582</v>
      </c>
      <c r="P97" s="761">
        <f>+'I.1 Proyecciones Población'!H61*'II. Caracterizacion RSU'!$D$47/1000</f>
        <v>23.2811316728788</v>
      </c>
      <c r="Q97" s="761">
        <f>+'I.1 Proyecciones Población'!H61*'II. Caracterizacion RSU'!$D$48/1000</f>
        <v>10.2837235739812</v>
      </c>
      <c r="R97" s="762">
        <f t="shared" si="6"/>
        <v>33.5648552468599</v>
      </c>
      <c r="S97" s="761">
        <f t="shared" si="11"/>
        <v>8497.61306060075</v>
      </c>
      <c r="T97" s="761">
        <f t="shared" si="11"/>
        <v>3753.55910450313</v>
      </c>
      <c r="U97" s="764">
        <f t="shared" si="8"/>
        <v>12251.1721651039</v>
      </c>
      <c r="V97" s="528"/>
      <c r="W97" s="765"/>
    </row>
    <row r="98" ht="15.75" spans="2:23">
      <c r="B98" s="183" t="s">
        <v>392</v>
      </c>
      <c r="C98" s="183"/>
      <c r="D98" s="766"/>
      <c r="E98" s="766"/>
      <c r="F98" s="767"/>
      <c r="G98" s="766"/>
      <c r="H98" s="766"/>
      <c r="I98" s="767"/>
      <c r="J98" s="766"/>
      <c r="K98" s="766"/>
      <c r="L98" s="767"/>
      <c r="M98" s="766"/>
      <c r="N98" s="766"/>
      <c r="O98" s="767"/>
      <c r="P98" s="766"/>
      <c r="Q98" s="766"/>
      <c r="R98" s="767"/>
      <c r="S98" s="766"/>
      <c r="T98" s="766"/>
      <c r="U98" s="773"/>
      <c r="V98" s="528"/>
      <c r="W98" s="528"/>
    </row>
    <row r="99" ht="15.75" spans="2:23">
      <c r="B99" s="183"/>
      <c r="C99" s="183"/>
      <c r="D99" s="183"/>
      <c r="E99" s="183"/>
      <c r="F99" s="183"/>
      <c r="G99" s="183"/>
      <c r="H99" s="183"/>
      <c r="I99" s="183"/>
      <c r="J99" s="183"/>
      <c r="K99" s="183"/>
      <c r="L99" s="183"/>
      <c r="M99" s="183"/>
      <c r="N99" s="183"/>
      <c r="O99" s="183"/>
      <c r="P99" s="183"/>
      <c r="Q99" s="183"/>
      <c r="R99" s="183"/>
      <c r="S99" s="528"/>
      <c r="T99" s="528"/>
      <c r="U99" s="528"/>
      <c r="V99" s="528"/>
      <c r="W99" s="528"/>
    </row>
    <row r="100" ht="15.75" spans="2:23">
      <c r="B100" s="183"/>
      <c r="C100" s="183"/>
      <c r="D100" s="183"/>
      <c r="E100" s="183"/>
      <c r="F100" s="183"/>
      <c r="G100" s="183"/>
      <c r="H100" s="183"/>
      <c r="I100" s="183"/>
      <c r="J100" s="183"/>
      <c r="K100" s="183"/>
      <c r="L100" s="183"/>
      <c r="M100" s="183"/>
      <c r="N100" s="183"/>
      <c r="O100" s="183"/>
      <c r="P100" s="183"/>
      <c r="Q100" s="183"/>
      <c r="R100" s="183"/>
      <c r="S100" s="528"/>
      <c r="T100" s="528"/>
      <c r="U100" s="528"/>
      <c r="V100" s="528"/>
      <c r="W100" s="528"/>
    </row>
    <row r="101" ht="15.75" spans="2:23">
      <c r="B101" s="183" t="s">
        <v>473</v>
      </c>
      <c r="C101" s="183"/>
      <c r="D101" s="183"/>
      <c r="E101" s="183"/>
      <c r="F101" s="183"/>
      <c r="G101" s="183"/>
      <c r="H101" s="183"/>
      <c r="I101" s="183"/>
      <c r="J101" s="183"/>
      <c r="K101" s="183"/>
      <c r="L101" s="183"/>
      <c r="M101" s="183"/>
      <c r="N101" s="183"/>
      <c r="O101" s="183"/>
      <c r="P101" s="183"/>
      <c r="Q101" s="183"/>
      <c r="R101" s="183"/>
      <c r="S101" s="528"/>
      <c r="T101" s="528"/>
      <c r="U101" s="528"/>
      <c r="V101" s="528"/>
      <c r="W101" s="528"/>
    </row>
    <row r="102" ht="45" spans="2:21">
      <c r="B102" s="690" t="s">
        <v>474</v>
      </c>
      <c r="C102" s="690" t="s">
        <v>200</v>
      </c>
      <c r="D102" s="598" t="s">
        <v>468</v>
      </c>
      <c r="E102" s="598" t="s">
        <v>469</v>
      </c>
      <c r="F102" s="598" t="s">
        <v>464</v>
      </c>
      <c r="G102" s="598" t="s">
        <v>470</v>
      </c>
      <c r="H102" s="598" t="s">
        <v>471</v>
      </c>
      <c r="I102" s="598" t="s">
        <v>472</v>
      </c>
      <c r="J102" s="598" t="s">
        <v>388</v>
      </c>
      <c r="K102" s="598" t="s">
        <v>389</v>
      </c>
      <c r="L102" s="598" t="s">
        <v>390</v>
      </c>
      <c r="M102" s="598" t="s">
        <v>391</v>
      </c>
      <c r="N102" s="183"/>
      <c r="O102" s="183"/>
      <c r="P102" s="183"/>
      <c r="Q102" s="528"/>
      <c r="R102" s="528"/>
      <c r="S102" s="528"/>
      <c r="T102" s="528"/>
      <c r="U102" s="528"/>
    </row>
    <row r="103" ht="15.75" spans="2:21">
      <c r="B103" s="760">
        <v>0</v>
      </c>
      <c r="C103" s="209">
        <v>2024</v>
      </c>
      <c r="D103" s="768">
        <f t="shared" ref="D103:D142" si="12">+D58+J58+P58</f>
        <v>806.812561592167</v>
      </c>
      <c r="E103" s="768">
        <f t="shared" ref="E103:E142" si="13">+E58+K58+Q58</f>
        <v>356.384624081445</v>
      </c>
      <c r="F103" s="762">
        <f>+SUM(D103:E103)</f>
        <v>1163.19718567361</v>
      </c>
      <c r="G103" s="768">
        <f t="shared" ref="G103:G142" si="14">+G58+M58+S58</f>
        <v>294486.584981141</v>
      </c>
      <c r="H103" s="768">
        <f t="shared" ref="H103:H142" si="15">+H58+N58+T58</f>
        <v>130080.387789727</v>
      </c>
      <c r="I103" s="762">
        <f>+SUM(G103:H103)</f>
        <v>424566.972770868</v>
      </c>
      <c r="J103" s="769">
        <f>+G103*1000/'I. Parametros Grales'!$C$145</f>
        <v>420695.12140163</v>
      </c>
      <c r="K103" s="769">
        <f>+H103*1000/'I. Parametros Grales'!$C$145</f>
        <v>185829.125413896</v>
      </c>
      <c r="L103" s="770">
        <f>+SUM(J103:K103)</f>
        <v>606524.246815526</v>
      </c>
      <c r="M103" s="770">
        <f>+L103*'I. Parametros Grales'!$C$148*'I. Parametros Grales'!$C$149</f>
        <v>765813.442948897</v>
      </c>
      <c r="N103" s="183"/>
      <c r="O103" s="771"/>
      <c r="P103" s="772"/>
      <c r="Q103" s="528"/>
      <c r="R103" s="528"/>
      <c r="S103" s="528"/>
      <c r="T103" s="528"/>
      <c r="U103" s="528"/>
    </row>
    <row r="104" ht="15.75" spans="2:21">
      <c r="B104" s="760">
        <v>1</v>
      </c>
      <c r="C104" s="760">
        <v>2025</v>
      </c>
      <c r="D104" s="768">
        <f t="shared" si="12"/>
        <v>816.51922788177</v>
      </c>
      <c r="E104" s="768">
        <f t="shared" si="13"/>
        <v>360.672245248221</v>
      </c>
      <c r="F104" s="762">
        <f t="shared" ref="F104:F142" si="16">+SUM(D104:E104)</f>
        <v>1177.19147312999</v>
      </c>
      <c r="G104" s="768">
        <f t="shared" si="14"/>
        <v>298029.518176846</v>
      </c>
      <c r="H104" s="768">
        <f t="shared" si="15"/>
        <v>131645.369515601</v>
      </c>
      <c r="I104" s="762">
        <f t="shared" ref="I104:I142" si="17">+SUM(G104:H104)</f>
        <v>429674.887692447</v>
      </c>
      <c r="J104" s="769">
        <f>+G104*1000/'I. Parametros Grales'!$C$145</f>
        <v>425756.454538351</v>
      </c>
      <c r="K104" s="769">
        <f>+H104*1000/'I. Parametros Grales'!$C$145</f>
        <v>188064.813593715</v>
      </c>
      <c r="L104" s="770">
        <f t="shared" ref="L104:L142" si="18">+SUM(J104:K104)</f>
        <v>613821.268132067</v>
      </c>
      <c r="M104" s="770">
        <f>+L104*'I. Parametros Grales'!$C$148*'I. Parametros Grales'!$C$149</f>
        <v>775026.853702105</v>
      </c>
      <c r="N104" s="183"/>
      <c r="O104" s="183"/>
      <c r="P104" s="183"/>
      <c r="Q104" s="528"/>
      <c r="R104" s="528"/>
      <c r="S104" s="528"/>
      <c r="T104" s="528"/>
      <c r="U104" s="528"/>
    </row>
    <row r="105" ht="15.75" spans="2:21">
      <c r="B105" s="760">
        <v>2</v>
      </c>
      <c r="C105" s="209">
        <v>2026</v>
      </c>
      <c r="D105" s="768">
        <f t="shared" si="12"/>
        <v>825.754107215043</v>
      </c>
      <c r="E105" s="768">
        <f t="shared" si="13"/>
        <v>364.751469043562</v>
      </c>
      <c r="F105" s="762">
        <f t="shared" si="16"/>
        <v>1190.50557625861</v>
      </c>
      <c r="G105" s="768">
        <f t="shared" si="14"/>
        <v>301400.249133491</v>
      </c>
      <c r="H105" s="768">
        <f t="shared" si="15"/>
        <v>133134.2862009</v>
      </c>
      <c r="I105" s="762">
        <f t="shared" si="17"/>
        <v>434534.535334391</v>
      </c>
      <c r="J105" s="769">
        <f>+G105*1000/'I. Parametros Grales'!$C$145</f>
        <v>430571.784476415</v>
      </c>
      <c r="K105" s="769">
        <f>+H105*1000/'I. Parametros Grales'!$C$145</f>
        <v>190191.837429857</v>
      </c>
      <c r="L105" s="770">
        <f t="shared" si="18"/>
        <v>620763.621906273</v>
      </c>
      <c r="M105" s="770">
        <f>+L105*'I. Parametros Grales'!$C$148*'I. Parametros Grales'!$C$149</f>
        <v>783792.451901859</v>
      </c>
      <c r="N105" s="183"/>
      <c r="O105" s="183"/>
      <c r="P105" s="183"/>
      <c r="Q105" s="528"/>
      <c r="R105" s="528"/>
      <c r="S105" s="528"/>
      <c r="T105" s="528"/>
      <c r="U105" s="528"/>
    </row>
    <row r="106" ht="15.75" spans="2:21">
      <c r="B106" s="760">
        <v>3</v>
      </c>
      <c r="C106" s="760">
        <v>2027</v>
      </c>
      <c r="D106" s="768">
        <f t="shared" si="12"/>
        <v>834.460536414712</v>
      </c>
      <c r="E106" s="768">
        <f t="shared" si="13"/>
        <v>368.597266252386</v>
      </c>
      <c r="F106" s="762">
        <f t="shared" si="16"/>
        <v>1203.0578026671</v>
      </c>
      <c r="G106" s="768">
        <f t="shared" si="14"/>
        <v>304578.09579137</v>
      </c>
      <c r="H106" s="768">
        <f t="shared" si="15"/>
        <v>134538.002182121</v>
      </c>
      <c r="I106" s="762">
        <f t="shared" si="17"/>
        <v>439116.097973491</v>
      </c>
      <c r="J106" s="769">
        <f>+G106*1000/'I. Parametros Grales'!$C$145</f>
        <v>435111.565416243</v>
      </c>
      <c r="K106" s="769">
        <f>+H106*1000/'I. Parametros Grales'!$C$145</f>
        <v>192197.145974458</v>
      </c>
      <c r="L106" s="770">
        <f t="shared" si="18"/>
        <v>627308.711390701</v>
      </c>
      <c r="M106" s="770">
        <f>+L106*'I. Parametros Grales'!$C$148*'I. Parametros Grales'!$C$149</f>
        <v>792056.453776138</v>
      </c>
      <c r="N106" s="183"/>
      <c r="O106" s="183"/>
      <c r="P106" s="183"/>
      <c r="Q106" s="528"/>
      <c r="R106" s="528"/>
      <c r="S106" s="528"/>
      <c r="T106" s="528"/>
      <c r="U106" s="528"/>
    </row>
    <row r="107" ht="15.75" spans="2:21">
      <c r="B107" s="760">
        <v>4</v>
      </c>
      <c r="C107" s="209">
        <v>2028</v>
      </c>
      <c r="D107" s="768">
        <f t="shared" si="12"/>
        <v>842.632828853664</v>
      </c>
      <c r="E107" s="768">
        <f t="shared" si="13"/>
        <v>372.207124982141</v>
      </c>
      <c r="F107" s="762">
        <f t="shared" si="16"/>
        <v>1214.83995383581</v>
      </c>
      <c r="G107" s="768">
        <f t="shared" si="14"/>
        <v>307560.982531587</v>
      </c>
      <c r="H107" s="768">
        <f t="shared" si="15"/>
        <v>135855.600618482</v>
      </c>
      <c r="I107" s="762">
        <f t="shared" si="17"/>
        <v>443416.583150069</v>
      </c>
      <c r="J107" s="769">
        <f>+G107*1000/'I. Parametros Grales'!$C$145</f>
        <v>439372.832187982</v>
      </c>
      <c r="K107" s="769">
        <f>+H107*1000/'I. Parametros Grales'!$C$145</f>
        <v>194079.429454974</v>
      </c>
      <c r="L107" s="770">
        <f t="shared" si="18"/>
        <v>633452.261642956</v>
      </c>
      <c r="M107" s="770">
        <f>+L107*'I. Parametros Grales'!$C$148*'I. Parametros Grales'!$C$149</f>
        <v>799813.461670399</v>
      </c>
      <c r="N107" s="183"/>
      <c r="O107" s="183"/>
      <c r="P107" s="183"/>
      <c r="Q107" s="528"/>
      <c r="R107" s="528"/>
      <c r="S107" s="528"/>
      <c r="T107" s="528"/>
      <c r="U107" s="528"/>
    </row>
    <row r="108" ht="15.75" spans="2:21">
      <c r="B108" s="760">
        <v>5</v>
      </c>
      <c r="C108" s="760">
        <v>2029</v>
      </c>
      <c r="D108" s="768">
        <f t="shared" si="12"/>
        <v>850.313837329053</v>
      </c>
      <c r="E108" s="768">
        <f t="shared" si="13"/>
        <v>375.599974137422</v>
      </c>
      <c r="F108" s="762">
        <f t="shared" si="16"/>
        <v>1225.91381146648</v>
      </c>
      <c r="G108" s="768">
        <f t="shared" si="14"/>
        <v>310364.550625105</v>
      </c>
      <c r="H108" s="768">
        <f t="shared" si="15"/>
        <v>137093.990560159</v>
      </c>
      <c r="I108" s="762">
        <f t="shared" si="17"/>
        <v>447458.541185264</v>
      </c>
      <c r="J108" s="769">
        <f>+G108*1000/'I. Parametros Grales'!$C$145</f>
        <v>443377.929464435</v>
      </c>
      <c r="K108" s="769">
        <f>+H108*1000/'I. Parametros Grales'!$C$145</f>
        <v>195848.557943084</v>
      </c>
      <c r="L108" s="770">
        <f t="shared" si="18"/>
        <v>639226.487407519</v>
      </c>
      <c r="M108" s="770">
        <f>+L108*'I. Parametros Grales'!$C$148*'I. Parametros Grales'!$C$149</f>
        <v>807104.15076707</v>
      </c>
      <c r="N108" s="183"/>
      <c r="O108" s="183"/>
      <c r="P108" s="183"/>
      <c r="Q108" s="528"/>
      <c r="R108" s="528"/>
      <c r="S108" s="528"/>
      <c r="T108" s="528"/>
      <c r="U108" s="528"/>
    </row>
    <row r="109" ht="15.75" spans="2:21">
      <c r="B109" s="760">
        <v>6</v>
      </c>
      <c r="C109" s="209">
        <v>2030</v>
      </c>
      <c r="D109" s="768">
        <f t="shared" si="12"/>
        <v>857.580128213043</v>
      </c>
      <c r="E109" s="768">
        <f t="shared" si="13"/>
        <v>378.809634557244</v>
      </c>
      <c r="F109" s="762">
        <f t="shared" si="16"/>
        <v>1236.38976277029</v>
      </c>
      <c r="G109" s="768">
        <f t="shared" si="14"/>
        <v>313016.746797761</v>
      </c>
      <c r="H109" s="768">
        <f t="shared" si="15"/>
        <v>138265.516613394</v>
      </c>
      <c r="I109" s="762">
        <f t="shared" si="17"/>
        <v>451282.263411155</v>
      </c>
      <c r="J109" s="769">
        <f>+G109*1000/'I. Parametros Grales'!$C$145</f>
        <v>447166.781139658</v>
      </c>
      <c r="K109" s="769">
        <f>+H109*1000/'I. Parametros Grales'!$C$145</f>
        <v>197522.166590563</v>
      </c>
      <c r="L109" s="770">
        <f t="shared" si="18"/>
        <v>644688.947730221</v>
      </c>
      <c r="M109" s="770">
        <f>+L109*'I. Parametros Grales'!$C$148*'I. Parametros Grales'!$C$149</f>
        <v>814001.196629067</v>
      </c>
      <c r="N109" s="183"/>
      <c r="O109" s="183"/>
      <c r="P109" s="183"/>
      <c r="Q109" s="528"/>
      <c r="R109" s="528"/>
      <c r="S109" s="528"/>
      <c r="T109" s="528"/>
      <c r="U109" s="528"/>
    </row>
    <row r="110" ht="15.75" spans="2:21">
      <c r="B110" s="760">
        <v>7</v>
      </c>
      <c r="C110" s="760">
        <v>2031</v>
      </c>
      <c r="D110" s="768">
        <f t="shared" si="12"/>
        <v>864.512126660478</v>
      </c>
      <c r="E110" s="768">
        <f t="shared" si="13"/>
        <v>381.871631579138</v>
      </c>
      <c r="F110" s="762">
        <f t="shared" si="16"/>
        <v>1246.38375823962</v>
      </c>
      <c r="G110" s="768">
        <f t="shared" si="14"/>
        <v>315546.926231074</v>
      </c>
      <c r="H110" s="768">
        <f t="shared" si="15"/>
        <v>139383.145526385</v>
      </c>
      <c r="I110" s="762">
        <f t="shared" si="17"/>
        <v>454930.07175746</v>
      </c>
      <c r="J110" s="769">
        <f>+G110*1000/'I. Parametros Grales'!$C$145</f>
        <v>450781.323187249</v>
      </c>
      <c r="K110" s="769">
        <f>+H110*1000/'I. Parametros Grales'!$C$145</f>
        <v>199118.779323408</v>
      </c>
      <c r="L110" s="770">
        <f t="shared" si="18"/>
        <v>649900.102510657</v>
      </c>
      <c r="M110" s="770">
        <f>+L110*'I. Parametros Grales'!$C$148*'I. Parametros Grales'!$C$149</f>
        <v>820580.937513456</v>
      </c>
      <c r="N110" s="183"/>
      <c r="O110" s="183"/>
      <c r="P110" s="183"/>
      <c r="Q110" s="528"/>
      <c r="R110" s="528"/>
      <c r="S110" s="528"/>
      <c r="T110" s="528"/>
      <c r="U110" s="528"/>
    </row>
    <row r="111" ht="15.75" spans="2:21">
      <c r="B111" s="760">
        <v>8</v>
      </c>
      <c r="C111" s="209">
        <v>2032</v>
      </c>
      <c r="D111" s="768">
        <f t="shared" si="12"/>
        <v>871.182134073189</v>
      </c>
      <c r="E111" s="768">
        <f t="shared" si="13"/>
        <v>384.817902122706</v>
      </c>
      <c r="F111" s="762">
        <f t="shared" si="16"/>
        <v>1256.00003619589</v>
      </c>
      <c r="G111" s="768">
        <f t="shared" si="14"/>
        <v>317981.478936714</v>
      </c>
      <c r="H111" s="768">
        <f t="shared" si="15"/>
        <v>140458.534274788</v>
      </c>
      <c r="I111" s="762">
        <f t="shared" si="17"/>
        <v>458440.013211502</v>
      </c>
      <c r="J111" s="769">
        <f>+G111*1000/'I. Parametros Grales'!$C$145</f>
        <v>454259.255623877</v>
      </c>
      <c r="K111" s="769">
        <f>+H111*1000/'I. Parametros Grales'!$C$145</f>
        <v>200655.048963982</v>
      </c>
      <c r="L111" s="770">
        <f t="shared" si="18"/>
        <v>654914.304587859</v>
      </c>
      <c r="M111" s="770">
        <f>+L111*'I. Parametros Grales'!$C$148*'I. Parametros Grales'!$C$149</f>
        <v>826912.000742247</v>
      </c>
      <c r="N111" s="183"/>
      <c r="O111" s="183"/>
      <c r="P111" s="183"/>
      <c r="Q111" s="528"/>
      <c r="R111" s="528"/>
      <c r="S111" s="528"/>
      <c r="T111" s="528"/>
      <c r="U111" s="528"/>
    </row>
    <row r="112" ht="15.75" spans="2:21">
      <c r="B112" s="760">
        <v>9</v>
      </c>
      <c r="C112" s="760">
        <v>2033</v>
      </c>
      <c r="D112" s="768">
        <f t="shared" si="12"/>
        <v>877.65615594442</v>
      </c>
      <c r="E112" s="768">
        <f t="shared" si="13"/>
        <v>387.677602083649</v>
      </c>
      <c r="F112" s="762">
        <f t="shared" si="16"/>
        <v>1265.33375802807</v>
      </c>
      <c r="G112" s="768">
        <f t="shared" si="14"/>
        <v>320344.496919713</v>
      </c>
      <c r="H112" s="768">
        <f t="shared" si="15"/>
        <v>141502.324760532</v>
      </c>
      <c r="I112" s="762">
        <f t="shared" si="17"/>
        <v>461846.821680245</v>
      </c>
      <c r="J112" s="769">
        <f>+G112*1000/'I. Parametros Grales'!$C$145</f>
        <v>457634.99559959</v>
      </c>
      <c r="K112" s="769">
        <f>+H112*1000/'I. Parametros Grales'!$C$145</f>
        <v>202146.178229331</v>
      </c>
      <c r="L112" s="770">
        <f t="shared" si="18"/>
        <v>659781.173828922</v>
      </c>
      <c r="M112" s="770">
        <f>+L112*'I. Parametros Grales'!$C$148*'I. Parametros Grales'!$C$149</f>
        <v>833057.03766278</v>
      </c>
      <c r="N112" s="183"/>
      <c r="O112" s="183"/>
      <c r="P112" s="183"/>
      <c r="Q112" s="528"/>
      <c r="R112" s="528"/>
      <c r="S112" s="528"/>
      <c r="T112" s="528"/>
      <c r="U112" s="528"/>
    </row>
    <row r="113" ht="15.75" spans="2:21">
      <c r="B113" s="760">
        <v>10</v>
      </c>
      <c r="C113" s="209">
        <v>2034</v>
      </c>
      <c r="D113" s="768">
        <f t="shared" si="12"/>
        <v>883.995526609433</v>
      </c>
      <c r="E113" s="768">
        <f t="shared" si="13"/>
        <v>390.47782401736</v>
      </c>
      <c r="F113" s="762">
        <f t="shared" si="16"/>
        <v>1274.47335062679</v>
      </c>
      <c r="G113" s="768">
        <f t="shared" si="14"/>
        <v>322658.367212443</v>
      </c>
      <c r="H113" s="768">
        <f t="shared" si="15"/>
        <v>142524.405766336</v>
      </c>
      <c r="I113" s="762">
        <f t="shared" si="17"/>
        <v>465182.77297878</v>
      </c>
      <c r="J113" s="769">
        <f>+G113*1000/'I. Parametros Grales'!$C$145</f>
        <v>460940.524589205</v>
      </c>
      <c r="K113" s="769">
        <f>+H113*1000/'I. Parametros Grales'!$C$145</f>
        <v>203606.293951909</v>
      </c>
      <c r="L113" s="770">
        <f t="shared" si="18"/>
        <v>664546.818541114</v>
      </c>
      <c r="M113" s="770">
        <f>+L113*'I. Parametros Grales'!$C$148*'I. Parametros Grales'!$C$149</f>
        <v>839074.26583474</v>
      </c>
      <c r="N113" s="183"/>
      <c r="O113" s="183"/>
      <c r="P113" s="183"/>
      <c r="Q113" s="528"/>
      <c r="R113" s="528"/>
      <c r="S113" s="528"/>
      <c r="T113" s="528"/>
      <c r="U113" s="528"/>
    </row>
    <row r="114" ht="15.75" spans="2:21">
      <c r="B114" s="760">
        <v>11</v>
      </c>
      <c r="C114" s="760">
        <v>2035</v>
      </c>
      <c r="D114" s="768">
        <f t="shared" si="12"/>
        <v>890.221774013717</v>
      </c>
      <c r="E114" s="768">
        <f t="shared" si="13"/>
        <v>393.228077231359</v>
      </c>
      <c r="F114" s="762">
        <f t="shared" si="16"/>
        <v>1283.44985124508</v>
      </c>
      <c r="G114" s="768">
        <f t="shared" si="14"/>
        <v>324930.947515007</v>
      </c>
      <c r="H114" s="768">
        <f t="shared" si="15"/>
        <v>143528.248189446</v>
      </c>
      <c r="I114" s="762">
        <f t="shared" si="17"/>
        <v>468459.195704453</v>
      </c>
      <c r="J114" s="769">
        <f>+G114*1000/'I. Parametros Grales'!$C$145</f>
        <v>464187.067878581</v>
      </c>
      <c r="K114" s="769">
        <f>+H114*1000/'I. Parametros Grales'!$C$145</f>
        <v>205040.354556351</v>
      </c>
      <c r="L114" s="770">
        <f t="shared" si="18"/>
        <v>669227.422434932</v>
      </c>
      <c r="M114" s="770">
        <f>+L114*'I. Parametros Grales'!$C$148*'I. Parametros Grales'!$C$149</f>
        <v>844984.119236026</v>
      </c>
      <c r="N114" s="183"/>
      <c r="O114" s="183"/>
      <c r="P114" s="183"/>
      <c r="Q114" s="528"/>
      <c r="R114" s="528"/>
      <c r="S114" s="528"/>
      <c r="T114" s="528"/>
      <c r="U114" s="528"/>
    </row>
    <row r="115" ht="15.75" spans="2:21">
      <c r="B115" s="760">
        <v>12</v>
      </c>
      <c r="C115" s="209">
        <v>2036</v>
      </c>
      <c r="D115" s="768">
        <f t="shared" si="12"/>
        <v>896.346474505317</v>
      </c>
      <c r="E115" s="768">
        <f t="shared" si="13"/>
        <v>395.9334752212</v>
      </c>
      <c r="F115" s="762">
        <f t="shared" si="16"/>
        <v>1292.27994972652</v>
      </c>
      <c r="G115" s="768">
        <f t="shared" si="14"/>
        <v>327166.463194441</v>
      </c>
      <c r="H115" s="768">
        <f t="shared" si="15"/>
        <v>144515.718455738</v>
      </c>
      <c r="I115" s="762">
        <f t="shared" si="17"/>
        <v>471682.181650179</v>
      </c>
      <c r="J115" s="769">
        <f>+G115*1000/'I. Parametros Grales'!$C$145</f>
        <v>467380.661706344</v>
      </c>
      <c r="K115" s="769">
        <f>+H115*1000/'I. Parametros Grales'!$C$145</f>
        <v>206451.02636534</v>
      </c>
      <c r="L115" s="770">
        <f t="shared" si="18"/>
        <v>673831.688071684</v>
      </c>
      <c r="M115" s="770">
        <f>+L115*'I. Parametros Grales'!$C$148*'I. Parametros Grales'!$C$149</f>
        <v>850797.585949096</v>
      </c>
      <c r="N115" s="183"/>
      <c r="O115" s="183"/>
      <c r="P115" s="183"/>
      <c r="Q115" s="528"/>
      <c r="R115" s="528"/>
      <c r="S115" s="528"/>
      <c r="T115" s="528"/>
      <c r="U115" s="528"/>
    </row>
    <row r="116" ht="15.75" spans="2:21">
      <c r="B116" s="760">
        <v>13</v>
      </c>
      <c r="C116" s="760">
        <v>2037</v>
      </c>
      <c r="D116" s="768">
        <f t="shared" si="12"/>
        <v>902.341398042507</v>
      </c>
      <c r="E116" s="768">
        <f t="shared" si="13"/>
        <v>398.581548234568</v>
      </c>
      <c r="F116" s="762">
        <f t="shared" si="16"/>
        <v>1300.92294627708</v>
      </c>
      <c r="G116" s="768">
        <f t="shared" si="14"/>
        <v>329354.610285515</v>
      </c>
      <c r="H116" s="768">
        <f t="shared" si="15"/>
        <v>145482.265105617</v>
      </c>
      <c r="I116" s="762">
        <f t="shared" si="17"/>
        <v>474836.875391133</v>
      </c>
      <c r="J116" s="769">
        <f>+G116*1000/'I. Parametros Grales'!$C$145</f>
        <v>470506.586122164</v>
      </c>
      <c r="K116" s="769">
        <f>+H116*1000/'I. Parametros Grales'!$C$145</f>
        <v>207831.807293739</v>
      </c>
      <c r="L116" s="770">
        <f t="shared" si="18"/>
        <v>678338.393415904</v>
      </c>
      <c r="M116" s="770">
        <f>+L116*'I. Parametros Grales'!$C$148*'I. Parametros Grales'!$C$149</f>
        <v>856487.870474626</v>
      </c>
      <c r="N116" s="183"/>
      <c r="O116" s="183"/>
      <c r="P116" s="183"/>
      <c r="Q116" s="528"/>
      <c r="R116" s="528"/>
      <c r="S116" s="528"/>
      <c r="T116" s="528"/>
      <c r="U116" s="528"/>
    </row>
    <row r="117" ht="15.75" spans="2:21">
      <c r="B117" s="760">
        <v>14</v>
      </c>
      <c r="C117" s="209">
        <v>2038</v>
      </c>
      <c r="D117" s="768">
        <f t="shared" si="12"/>
        <v>908.139320569091</v>
      </c>
      <c r="E117" s="768">
        <f t="shared" si="13"/>
        <v>401.142602113071</v>
      </c>
      <c r="F117" s="762">
        <f t="shared" si="16"/>
        <v>1309.28192268216</v>
      </c>
      <c r="G117" s="768">
        <f t="shared" si="14"/>
        <v>331470.852007718</v>
      </c>
      <c r="H117" s="768">
        <f t="shared" si="15"/>
        <v>146417.049771271</v>
      </c>
      <c r="I117" s="762">
        <f t="shared" si="17"/>
        <v>477887.901778989</v>
      </c>
      <c r="J117" s="769">
        <f>+G117*1000/'I. Parametros Grales'!$C$145</f>
        <v>473529.788582455</v>
      </c>
      <c r="K117" s="769">
        <f>+H117*1000/'I. Parametros Grales'!$C$145</f>
        <v>209167.213958958</v>
      </c>
      <c r="L117" s="770">
        <f t="shared" si="18"/>
        <v>682697.002541413</v>
      </c>
      <c r="M117" s="770">
        <f>+L117*'I. Parametros Grales'!$C$148*'I. Parametros Grales'!$C$149</f>
        <v>861991.164825017</v>
      </c>
      <c r="N117" s="183"/>
      <c r="O117" s="183"/>
      <c r="P117" s="183"/>
      <c r="Q117" s="528"/>
      <c r="R117" s="528"/>
      <c r="S117" s="528"/>
      <c r="T117" s="528"/>
      <c r="U117" s="528"/>
    </row>
    <row r="118" ht="15.75" spans="2:21">
      <c r="B118" s="760">
        <v>15</v>
      </c>
      <c r="C118" s="760">
        <v>2039</v>
      </c>
      <c r="D118" s="768">
        <f t="shared" si="12"/>
        <v>913.652708646336</v>
      </c>
      <c r="E118" s="768">
        <f t="shared" si="13"/>
        <v>403.577971653484</v>
      </c>
      <c r="F118" s="762">
        <f t="shared" si="16"/>
        <v>1317.23068029982</v>
      </c>
      <c r="G118" s="768">
        <f t="shared" si="14"/>
        <v>333483.238655913</v>
      </c>
      <c r="H118" s="768">
        <f t="shared" si="15"/>
        <v>147305.959653522</v>
      </c>
      <c r="I118" s="762">
        <f t="shared" si="17"/>
        <v>480789.198309434</v>
      </c>
      <c r="J118" s="769">
        <f>+G118*1000/'I. Parametros Grales'!$C$145</f>
        <v>476404.626651304</v>
      </c>
      <c r="K118" s="769">
        <f>+H118*1000/'I. Parametros Grales'!$C$145</f>
        <v>210437.085219316</v>
      </c>
      <c r="L118" s="770">
        <f t="shared" si="18"/>
        <v>686841.71187062</v>
      </c>
      <c r="M118" s="770">
        <f>+L118*'I. Parametros Grales'!$C$148*'I. Parametros Grales'!$C$149</f>
        <v>867224.383675025</v>
      </c>
      <c r="N118" s="183"/>
      <c r="O118" s="183"/>
      <c r="P118" s="183"/>
      <c r="Q118" s="528"/>
      <c r="R118" s="528"/>
      <c r="S118" s="528"/>
      <c r="T118" s="528"/>
      <c r="U118" s="528"/>
    </row>
    <row r="119" ht="15.75" spans="2:21">
      <c r="B119" s="760">
        <v>16</v>
      </c>
      <c r="C119" s="209">
        <v>2040</v>
      </c>
      <c r="D119" s="768">
        <f t="shared" si="12"/>
        <v>918.793419554031</v>
      </c>
      <c r="E119" s="768">
        <f t="shared" si="13"/>
        <v>405.848722521238</v>
      </c>
      <c r="F119" s="762">
        <f t="shared" si="16"/>
        <v>1324.64214207527</v>
      </c>
      <c r="G119" s="768">
        <f t="shared" si="14"/>
        <v>335359.598137221</v>
      </c>
      <c r="H119" s="768">
        <f t="shared" si="15"/>
        <v>148134.783720252</v>
      </c>
      <c r="I119" s="762">
        <f t="shared" si="17"/>
        <v>483494.381857473</v>
      </c>
      <c r="J119" s="769">
        <f>+G119*1000/'I. Parametros Grales'!$C$145</f>
        <v>479085.140196031</v>
      </c>
      <c r="K119" s="769">
        <f>+H119*1000/'I. Parametros Grales'!$C$145</f>
        <v>211621.11960036</v>
      </c>
      <c r="L119" s="770">
        <f t="shared" si="18"/>
        <v>690706.25979639</v>
      </c>
      <c r="M119" s="770">
        <f>+L119*'I. Parametros Grales'!$C$148*'I. Parametros Grales'!$C$149</f>
        <v>872103.863379281</v>
      </c>
      <c r="N119" s="183"/>
      <c r="O119" s="183"/>
      <c r="P119" s="183"/>
      <c r="Q119" s="528"/>
      <c r="R119" s="528"/>
      <c r="S119" s="528"/>
      <c r="T119" s="528"/>
      <c r="U119" s="528"/>
    </row>
    <row r="120" ht="15.75" spans="2:21">
      <c r="B120" s="760">
        <v>17</v>
      </c>
      <c r="C120" s="760">
        <v>2041</v>
      </c>
      <c r="D120" s="768">
        <f t="shared" si="12"/>
        <v>923.485293107665</v>
      </c>
      <c r="E120" s="768">
        <f t="shared" si="13"/>
        <v>407.921213298215</v>
      </c>
      <c r="F120" s="762">
        <f t="shared" si="16"/>
        <v>1331.40650640588</v>
      </c>
      <c r="G120" s="768">
        <f t="shared" si="14"/>
        <v>337072.131984298</v>
      </c>
      <c r="H120" s="768">
        <f t="shared" si="15"/>
        <v>148891.242853849</v>
      </c>
      <c r="I120" s="762">
        <f t="shared" si="17"/>
        <v>485963.374838147</v>
      </c>
      <c r="J120" s="769">
        <f>+G120*1000/'I. Parametros Grales'!$C$145</f>
        <v>481531.617120426</v>
      </c>
      <c r="K120" s="769">
        <f>+H120*1000/'I. Parametros Grales'!$C$145</f>
        <v>212701.775505498</v>
      </c>
      <c r="L120" s="770">
        <f t="shared" si="18"/>
        <v>694233.392625924</v>
      </c>
      <c r="M120" s="770">
        <f>+L120*'I. Parametros Grales'!$C$148*'I. Parametros Grales'!$C$149</f>
        <v>876557.313921621</v>
      </c>
      <c r="N120" s="183"/>
      <c r="O120" s="183"/>
      <c r="P120" s="183"/>
      <c r="Q120" s="528"/>
      <c r="R120" s="528"/>
      <c r="S120" s="528"/>
      <c r="T120" s="528"/>
      <c r="U120" s="528"/>
    </row>
    <row r="121" ht="15.75" spans="2:21">
      <c r="B121" s="760">
        <v>18</v>
      </c>
      <c r="C121" s="209">
        <v>2042</v>
      </c>
      <c r="D121" s="768">
        <f t="shared" si="12"/>
        <v>927.703958048194</v>
      </c>
      <c r="E121" s="768">
        <f t="shared" si="13"/>
        <v>409.784678730619</v>
      </c>
      <c r="F121" s="762">
        <f t="shared" si="16"/>
        <v>1337.48863677881</v>
      </c>
      <c r="G121" s="768">
        <f t="shared" si="14"/>
        <v>338611.944687591</v>
      </c>
      <c r="H121" s="768">
        <f t="shared" si="15"/>
        <v>149571.407736676</v>
      </c>
      <c r="I121" s="762">
        <f t="shared" si="17"/>
        <v>488183.352424267</v>
      </c>
      <c r="J121" s="769">
        <f>+G121*1000/'I. Parametros Grales'!$C$145</f>
        <v>483731.349553701</v>
      </c>
      <c r="K121" s="769">
        <f>+H121*1000/'I. Parametros Grales'!$C$145</f>
        <v>213673.439623823</v>
      </c>
      <c r="L121" s="770">
        <f t="shared" si="18"/>
        <v>697404.789177524</v>
      </c>
      <c r="M121" s="770">
        <f>+L121*'I. Parametros Grales'!$C$148*'I. Parametros Grales'!$C$149</f>
        <v>880561.602496874</v>
      </c>
      <c r="N121" s="183"/>
      <c r="O121" s="183"/>
      <c r="P121" s="183"/>
      <c r="Q121" s="528"/>
      <c r="R121" s="528"/>
      <c r="S121" s="528"/>
      <c r="T121" s="528"/>
      <c r="U121" s="528"/>
    </row>
    <row r="122" ht="15.75" spans="2:21">
      <c r="B122" s="760">
        <v>19</v>
      </c>
      <c r="C122" s="760">
        <v>2043</v>
      </c>
      <c r="D122" s="768">
        <f t="shared" si="12"/>
        <v>931.447586531188</v>
      </c>
      <c r="E122" s="768">
        <f t="shared" si="13"/>
        <v>411.438311424413</v>
      </c>
      <c r="F122" s="762">
        <f t="shared" si="16"/>
        <v>1342.8858979556</v>
      </c>
      <c r="G122" s="768">
        <f t="shared" si="14"/>
        <v>339978.369083884</v>
      </c>
      <c r="H122" s="768">
        <f t="shared" si="15"/>
        <v>150174.983669911</v>
      </c>
      <c r="I122" s="762">
        <f t="shared" si="17"/>
        <v>490153.352753794</v>
      </c>
      <c r="J122" s="769">
        <f>+G122*1000/'I. Parametros Grales'!$C$145</f>
        <v>485683.384405548</v>
      </c>
      <c r="K122" s="769">
        <f>+H122*1000/'I. Parametros Grales'!$C$145</f>
        <v>214535.690957015</v>
      </c>
      <c r="L122" s="770">
        <f t="shared" si="18"/>
        <v>700219.075362563</v>
      </c>
      <c r="M122" s="770">
        <f>+L122*'I. Parametros Grales'!$C$148*'I. Parametros Grales'!$C$149</f>
        <v>884114.994144651</v>
      </c>
      <c r="N122" s="183"/>
      <c r="O122" s="183"/>
      <c r="P122" s="183"/>
      <c r="Q122" s="528"/>
      <c r="R122" s="528"/>
      <c r="S122" s="528"/>
      <c r="T122" s="528"/>
      <c r="U122" s="528"/>
    </row>
    <row r="123" ht="15.75" spans="2:21">
      <c r="B123" s="760">
        <v>20</v>
      </c>
      <c r="C123" s="209">
        <v>2044</v>
      </c>
      <c r="D123" s="768">
        <f t="shared" si="12"/>
        <v>934.75862516615</v>
      </c>
      <c r="E123" s="768">
        <f t="shared" si="13"/>
        <v>412.900860863296</v>
      </c>
      <c r="F123" s="762">
        <f t="shared" si="16"/>
        <v>1347.65948602945</v>
      </c>
      <c r="G123" s="768">
        <f t="shared" si="14"/>
        <v>341186.898185645</v>
      </c>
      <c r="H123" s="768">
        <f t="shared" si="15"/>
        <v>150708.814215103</v>
      </c>
      <c r="I123" s="762">
        <f t="shared" si="17"/>
        <v>491895.712400748</v>
      </c>
      <c r="J123" s="769">
        <f>+G123*1000/'I. Parametros Grales'!$C$145</f>
        <v>487409.854550921</v>
      </c>
      <c r="K123" s="769">
        <f>+H123*1000/'I. Parametros Grales'!$C$145</f>
        <v>215298.306021576</v>
      </c>
      <c r="L123" s="770">
        <f t="shared" si="18"/>
        <v>702708.160572497</v>
      </c>
      <c r="M123" s="770">
        <f>+L123*'I. Parametros Grales'!$C$148*'I. Parametros Grales'!$C$149</f>
        <v>887257.778500627</v>
      </c>
      <c r="N123" s="183"/>
      <c r="O123" s="183"/>
      <c r="P123" s="183"/>
      <c r="Q123" s="528"/>
      <c r="R123" s="528"/>
      <c r="S123" s="528"/>
      <c r="T123" s="528"/>
      <c r="U123" s="528"/>
    </row>
    <row r="124" ht="15.75" spans="2:21">
      <c r="B124" s="760">
        <v>21</v>
      </c>
      <c r="C124" s="209">
        <v>2045</v>
      </c>
      <c r="D124" s="768">
        <f t="shared" si="12"/>
        <v>937.675052498424</v>
      </c>
      <c r="E124" s="768">
        <f t="shared" si="13"/>
        <v>414.189102901102</v>
      </c>
      <c r="F124" s="762">
        <f t="shared" si="16"/>
        <v>1351.86415539953</v>
      </c>
      <c r="G124" s="768">
        <f t="shared" si="14"/>
        <v>342251.394161925</v>
      </c>
      <c r="H124" s="768">
        <f t="shared" si="15"/>
        <v>151179.022558902</v>
      </c>
      <c r="I124" s="762">
        <f t="shared" si="17"/>
        <v>493430.416720827</v>
      </c>
      <c r="J124" s="769">
        <f>+G124*1000/'I. Parametros Grales'!$C$145</f>
        <v>488930.563088464</v>
      </c>
      <c r="K124" s="769">
        <f>+H124*1000/'I. Parametros Grales'!$C$145</f>
        <v>215970.032227003</v>
      </c>
      <c r="L124" s="770">
        <f t="shared" si="18"/>
        <v>704900.595315467</v>
      </c>
      <c r="M124" s="770">
        <f>+L124*'I. Parametros Grales'!$C$148*'I. Parametros Grales'!$C$149</f>
        <v>890026.004186196</v>
      </c>
      <c r="N124" s="183"/>
      <c r="O124" s="183"/>
      <c r="P124" s="183"/>
      <c r="Q124" s="528"/>
      <c r="R124" s="528"/>
      <c r="S124" s="528"/>
      <c r="T124" s="528"/>
      <c r="U124" s="528"/>
    </row>
    <row r="125" ht="15.75" spans="2:21">
      <c r="B125" s="760">
        <v>22</v>
      </c>
      <c r="C125" s="760">
        <v>2046</v>
      </c>
      <c r="D125" s="768">
        <f t="shared" si="12"/>
        <v>940.254140986763</v>
      </c>
      <c r="E125" s="768">
        <f t="shared" si="13"/>
        <v>415.328335884257</v>
      </c>
      <c r="F125" s="762">
        <f t="shared" si="16"/>
        <v>1355.58247687102</v>
      </c>
      <c r="G125" s="768">
        <f t="shared" si="14"/>
        <v>343192.761460168</v>
      </c>
      <c r="H125" s="768">
        <f t="shared" si="15"/>
        <v>151594.842597754</v>
      </c>
      <c r="I125" s="762">
        <f t="shared" si="17"/>
        <v>494787.604057922</v>
      </c>
      <c r="J125" s="769">
        <f>+G125*1000/'I. Parametros Grales'!$C$145</f>
        <v>490275.373514526</v>
      </c>
      <c r="K125" s="769">
        <f>+H125*1000/'I. Parametros Grales'!$C$145</f>
        <v>216564.060853934</v>
      </c>
      <c r="L125" s="770">
        <f t="shared" si="18"/>
        <v>706839.43436846</v>
      </c>
      <c r="M125" s="770">
        <f>+L125*'I. Parametros Grales'!$C$148*'I. Parametros Grales'!$C$149</f>
        <v>892474.03329351</v>
      </c>
      <c r="N125" s="183"/>
      <c r="O125" s="183"/>
      <c r="P125" s="183"/>
      <c r="Q125" s="528"/>
      <c r="R125" s="528"/>
      <c r="S125" s="528"/>
      <c r="T125" s="528"/>
      <c r="U125" s="528"/>
    </row>
    <row r="126" ht="15.75" spans="2:21">
      <c r="B126" s="760">
        <v>23</v>
      </c>
      <c r="C126" s="209">
        <v>2047</v>
      </c>
      <c r="D126" s="768">
        <f t="shared" si="12"/>
        <v>942.552147620793</v>
      </c>
      <c r="E126" s="768">
        <f t="shared" si="13"/>
        <v>416.343409606943</v>
      </c>
      <c r="F126" s="762">
        <f t="shared" si="16"/>
        <v>1358.89555722774</v>
      </c>
      <c r="G126" s="768">
        <f t="shared" si="14"/>
        <v>344031.533881589</v>
      </c>
      <c r="H126" s="768">
        <f t="shared" si="15"/>
        <v>151965.344506534</v>
      </c>
      <c r="I126" s="762">
        <f t="shared" si="17"/>
        <v>495996.878388123</v>
      </c>
      <c r="J126" s="769">
        <f>+G126*1000/'I. Parametros Grales'!$C$145</f>
        <v>491473.619830842</v>
      </c>
      <c r="K126" s="769">
        <f>+H126*1000/'I. Parametros Grales'!$C$145</f>
        <v>217093.349295049</v>
      </c>
      <c r="L126" s="770">
        <f t="shared" si="18"/>
        <v>708566.969125891</v>
      </c>
      <c r="M126" s="770">
        <f>+L126*'I. Parametros Grales'!$C$148*'I. Parametros Grales'!$C$149</f>
        <v>894655.264047842</v>
      </c>
      <c r="N126" s="183"/>
      <c r="O126" s="183"/>
      <c r="P126" s="183"/>
      <c r="Q126" s="528"/>
      <c r="R126" s="528"/>
      <c r="S126" s="528"/>
      <c r="T126" s="528"/>
      <c r="U126" s="528"/>
    </row>
    <row r="127" ht="15.75" spans="2:21">
      <c r="B127" s="760">
        <v>24</v>
      </c>
      <c r="C127" s="209">
        <v>2048</v>
      </c>
      <c r="D127" s="768">
        <f t="shared" si="12"/>
        <v>944.620048950682</v>
      </c>
      <c r="E127" s="768">
        <f t="shared" si="13"/>
        <v>417.256841391688</v>
      </c>
      <c r="F127" s="762">
        <f t="shared" si="16"/>
        <v>1361.87689034237</v>
      </c>
      <c r="G127" s="768">
        <f t="shared" si="14"/>
        <v>344786.317866999</v>
      </c>
      <c r="H127" s="768">
        <f t="shared" si="15"/>
        <v>152298.747107966</v>
      </c>
      <c r="I127" s="762">
        <f t="shared" si="17"/>
        <v>497085.064974965</v>
      </c>
      <c r="J127" s="769">
        <f>+G127*1000/'I. Parametros Grales'!$C$145</f>
        <v>492551.882667141</v>
      </c>
      <c r="K127" s="769">
        <f>+H127*1000/'I. Parametros Grales'!$C$145</f>
        <v>217569.638725666</v>
      </c>
      <c r="L127" s="770">
        <f t="shared" si="18"/>
        <v>710121.521392808</v>
      </c>
      <c r="M127" s="770">
        <f>+L127*'I. Parametros Grales'!$C$148*'I. Parametros Grales'!$C$149</f>
        <v>896618.082566676</v>
      </c>
      <c r="N127" s="183"/>
      <c r="O127" s="183"/>
      <c r="P127" s="183"/>
      <c r="Q127" s="528"/>
      <c r="R127" s="528"/>
      <c r="S127" s="528"/>
      <c r="T127" s="528"/>
      <c r="U127" s="528"/>
    </row>
    <row r="128" ht="15.75" spans="2:21">
      <c r="B128" s="760">
        <v>25</v>
      </c>
      <c r="C128" s="760">
        <v>2049</v>
      </c>
      <c r="D128" s="768">
        <f t="shared" si="12"/>
        <v>946.493589489695</v>
      </c>
      <c r="E128" s="768">
        <f t="shared" si="13"/>
        <v>418.084420277396</v>
      </c>
      <c r="F128" s="762">
        <f t="shared" si="16"/>
        <v>1364.57800976709</v>
      </c>
      <c r="G128" s="768">
        <f t="shared" si="14"/>
        <v>345470.160163739</v>
      </c>
      <c r="H128" s="768">
        <f t="shared" si="15"/>
        <v>152600.81340125</v>
      </c>
      <c r="I128" s="762">
        <f t="shared" si="17"/>
        <v>498070.973564988</v>
      </c>
      <c r="J128" s="769">
        <f>+G128*1000/'I. Parametros Grales'!$C$145</f>
        <v>493528.800233912</v>
      </c>
      <c r="K128" s="769">
        <f>+H128*1000/'I. Parametros Grales'!$C$145</f>
        <v>218001.162001785</v>
      </c>
      <c r="L128" s="770">
        <f t="shared" si="18"/>
        <v>711529.962235698</v>
      </c>
      <c r="M128" s="770">
        <f>+L128*'I. Parametros Grales'!$C$148*'I. Parametros Grales'!$C$149</f>
        <v>898396.416964265</v>
      </c>
      <c r="N128" s="183"/>
      <c r="O128" s="183"/>
      <c r="P128" s="183"/>
      <c r="Q128" s="528"/>
      <c r="R128" s="528"/>
      <c r="S128" s="528"/>
      <c r="T128" s="528"/>
      <c r="U128" s="528"/>
    </row>
    <row r="129" ht="15.75" spans="2:21">
      <c r="B129" s="760">
        <v>26</v>
      </c>
      <c r="C129" s="209">
        <v>2050</v>
      </c>
      <c r="D129" s="768">
        <f t="shared" si="12"/>
        <v>948.195109558622</v>
      </c>
      <c r="E129" s="768">
        <f t="shared" si="13"/>
        <v>418.836014413381</v>
      </c>
      <c r="F129" s="762">
        <f t="shared" si="16"/>
        <v>1367.031123972</v>
      </c>
      <c r="G129" s="768">
        <f t="shared" si="14"/>
        <v>346091.214988897</v>
      </c>
      <c r="H129" s="768">
        <f t="shared" si="15"/>
        <v>152875.145260884</v>
      </c>
      <c r="I129" s="762">
        <f t="shared" si="17"/>
        <v>498966.360249781</v>
      </c>
      <c r="J129" s="769">
        <f>+G129*1000/'I. Parametros Grales'!$C$145</f>
        <v>494416.02141271</v>
      </c>
      <c r="K129" s="769">
        <f>+H129*1000/'I. Parametros Grales'!$C$145</f>
        <v>218393.064658406</v>
      </c>
      <c r="L129" s="770">
        <f t="shared" si="18"/>
        <v>712809.086071116</v>
      </c>
      <c r="M129" s="770">
        <f>+L129*'I. Parametros Grales'!$C$148*'I. Parametros Grales'!$C$149</f>
        <v>900011.472312015</v>
      </c>
      <c r="N129" s="183"/>
      <c r="O129" s="183"/>
      <c r="P129" s="183"/>
      <c r="Q129" s="528"/>
      <c r="R129" s="528"/>
      <c r="S129" s="528"/>
      <c r="T129" s="528"/>
      <c r="U129" s="528"/>
    </row>
    <row r="130" ht="15.75" spans="2:21">
      <c r="B130" s="760">
        <v>27</v>
      </c>
      <c r="C130" s="209">
        <v>2051</v>
      </c>
      <c r="D130" s="768">
        <f t="shared" si="12"/>
        <v>949.722578219209</v>
      </c>
      <c r="E130" s="768">
        <f t="shared" si="13"/>
        <v>419.510726695159</v>
      </c>
      <c r="F130" s="762">
        <f t="shared" si="16"/>
        <v>1369.23330491437</v>
      </c>
      <c r="G130" s="768">
        <f t="shared" si="14"/>
        <v>346648.741050011</v>
      </c>
      <c r="H130" s="768">
        <f t="shared" si="15"/>
        <v>153121.415243733</v>
      </c>
      <c r="I130" s="762">
        <f t="shared" si="17"/>
        <v>499770.156293744</v>
      </c>
      <c r="J130" s="769">
        <f>+G130*1000/'I. Parametros Grales'!$C$145</f>
        <v>495212.487214302</v>
      </c>
      <c r="K130" s="769">
        <f>+H130*1000/'I. Parametros Grales'!$C$145</f>
        <v>218744.878919619</v>
      </c>
      <c r="L130" s="770">
        <f t="shared" si="18"/>
        <v>713957.366133921</v>
      </c>
      <c r="M130" s="770">
        <f>+L130*'I. Parametros Grales'!$C$148*'I. Parametros Grales'!$C$149</f>
        <v>901461.320876162</v>
      </c>
      <c r="N130" s="183"/>
      <c r="O130" s="183"/>
      <c r="P130" s="183"/>
      <c r="Q130" s="528"/>
      <c r="R130" s="528"/>
      <c r="S130" s="528"/>
      <c r="T130" s="528"/>
      <c r="U130" s="528"/>
    </row>
    <row r="131" ht="15.75" spans="2:21">
      <c r="B131" s="760">
        <v>28</v>
      </c>
      <c r="C131" s="760">
        <v>2052</v>
      </c>
      <c r="D131" s="768">
        <f t="shared" si="12"/>
        <v>951.060560340728</v>
      </c>
      <c r="E131" s="768">
        <f t="shared" si="13"/>
        <v>420.10173912866</v>
      </c>
      <c r="F131" s="762">
        <f t="shared" si="16"/>
        <v>1371.16229946939</v>
      </c>
      <c r="G131" s="768">
        <f t="shared" si="14"/>
        <v>347137.104524366</v>
      </c>
      <c r="H131" s="768">
        <f t="shared" si="15"/>
        <v>153337.134781961</v>
      </c>
      <c r="I131" s="762">
        <f t="shared" si="17"/>
        <v>500474.239306327</v>
      </c>
      <c r="J131" s="769">
        <f>+G131*1000/'I. Parametros Grales'!$C$145</f>
        <v>495910.149320523</v>
      </c>
      <c r="K131" s="769">
        <f>+H131*1000/'I. Parametros Grales'!$C$145</f>
        <v>219053.049688516</v>
      </c>
      <c r="L131" s="770">
        <f t="shared" si="18"/>
        <v>714963.199009038</v>
      </c>
      <c r="M131" s="770">
        <f>+L131*'I. Parametros Grales'!$C$148*'I. Parametros Grales'!$C$149</f>
        <v>902731.311880099</v>
      </c>
      <c r="N131" s="183"/>
      <c r="O131" s="183"/>
      <c r="P131" s="183"/>
      <c r="Q131" s="528"/>
      <c r="R131" s="528"/>
      <c r="S131" s="528"/>
      <c r="T131" s="528"/>
      <c r="U131" s="528"/>
    </row>
    <row r="132" ht="15.75" spans="2:21">
      <c r="B132" s="760">
        <v>29</v>
      </c>
      <c r="C132" s="209">
        <v>2053</v>
      </c>
      <c r="D132" s="768">
        <f t="shared" si="12"/>
        <v>952.166000032202</v>
      </c>
      <c r="E132" s="768">
        <f t="shared" si="13"/>
        <v>420.59003309884</v>
      </c>
      <c r="F132" s="762">
        <f t="shared" si="16"/>
        <v>1372.75603313104</v>
      </c>
      <c r="G132" s="768">
        <f t="shared" si="14"/>
        <v>347540.590011754</v>
      </c>
      <c r="H132" s="768">
        <f t="shared" si="15"/>
        <v>153515.362081077</v>
      </c>
      <c r="I132" s="762">
        <f t="shared" si="17"/>
        <v>501055.95209283</v>
      </c>
      <c r="J132" s="769">
        <f>+G132*1000/'I. Parametros Grales'!$C$145</f>
        <v>496486.557159648</v>
      </c>
      <c r="K132" s="769">
        <f>+H132*1000/'I. Parametros Grales'!$C$145</f>
        <v>219307.660115824</v>
      </c>
      <c r="L132" s="770">
        <f t="shared" si="18"/>
        <v>715794.217275472</v>
      </c>
      <c r="M132" s="770">
        <f>+L132*'I. Parametros Grales'!$C$148*'I. Parametros Grales'!$C$149</f>
        <v>903780.57736802</v>
      </c>
      <c r="N132" s="183"/>
      <c r="O132" s="183"/>
      <c r="P132" s="183"/>
      <c r="Q132" s="528"/>
      <c r="R132" s="528"/>
      <c r="S132" s="528"/>
      <c r="T132" s="528"/>
      <c r="U132" s="528"/>
    </row>
    <row r="133" ht="15.75" spans="2:21">
      <c r="B133" s="760">
        <v>30</v>
      </c>
      <c r="C133" s="209">
        <v>2054</v>
      </c>
      <c r="D133" s="768">
        <f t="shared" si="12"/>
        <v>952.983046491655</v>
      </c>
      <c r="E133" s="768">
        <f t="shared" si="13"/>
        <v>420.950938232412</v>
      </c>
      <c r="F133" s="762">
        <f t="shared" si="16"/>
        <v>1373.93398472407</v>
      </c>
      <c r="G133" s="768">
        <f t="shared" si="14"/>
        <v>347838.811969454</v>
      </c>
      <c r="H133" s="768">
        <f t="shared" si="15"/>
        <v>153647.09245483</v>
      </c>
      <c r="I133" s="762">
        <f t="shared" si="17"/>
        <v>501485.904424284</v>
      </c>
      <c r="J133" s="769">
        <f>+G133*1000/'I. Parametros Grales'!$C$145</f>
        <v>496912.588527791</v>
      </c>
      <c r="K133" s="769">
        <f>+H133*1000/'I. Parametros Grales'!$C$145</f>
        <v>219495.846364043</v>
      </c>
      <c r="L133" s="770">
        <f t="shared" si="18"/>
        <v>716408.434891835</v>
      </c>
      <c r="M133" s="770">
        <f>+L133*'I. Parametros Grales'!$C$148*'I. Parametros Grales'!$C$149</f>
        <v>904556.104661407</v>
      </c>
      <c r="N133" s="183"/>
      <c r="O133" s="183"/>
      <c r="P133" s="183"/>
      <c r="Q133" s="528"/>
      <c r="R133" s="528"/>
      <c r="S133" s="528"/>
      <c r="T133" s="528"/>
      <c r="U133" s="528"/>
    </row>
    <row r="134" ht="15.75" spans="2:21">
      <c r="B134" s="760">
        <v>31</v>
      </c>
      <c r="C134" s="760">
        <v>2055</v>
      </c>
      <c r="D134" s="768">
        <f t="shared" si="12"/>
        <v>953.461129356569</v>
      </c>
      <c r="E134" s="768">
        <f t="shared" si="13"/>
        <v>421.162116627746</v>
      </c>
      <c r="F134" s="762">
        <f t="shared" si="16"/>
        <v>1374.62324598431</v>
      </c>
      <c r="G134" s="768">
        <f t="shared" si="14"/>
        <v>348013.312215148</v>
      </c>
      <c r="H134" s="768">
        <f t="shared" si="15"/>
        <v>153724.172569127</v>
      </c>
      <c r="I134" s="762">
        <f t="shared" si="17"/>
        <v>501737.484784275</v>
      </c>
      <c r="J134" s="769">
        <f>+G134*1000/'I. Parametros Grales'!$C$145</f>
        <v>497161.874593068</v>
      </c>
      <c r="K134" s="769">
        <f>+H134*1000/'I. Parametros Grales'!$C$145</f>
        <v>219605.960813039</v>
      </c>
      <c r="L134" s="770">
        <f t="shared" si="18"/>
        <v>716767.835406107</v>
      </c>
      <c r="M134" s="770">
        <f>+L134*'I. Parametros Grales'!$C$148*'I. Parametros Grales'!$C$149</f>
        <v>905009.893189529</v>
      </c>
      <c r="N134" s="183"/>
      <c r="O134" s="183"/>
      <c r="P134" s="183"/>
      <c r="Q134" s="528"/>
      <c r="R134" s="528"/>
      <c r="S134" s="528"/>
      <c r="T134" s="528"/>
      <c r="U134" s="528"/>
    </row>
    <row r="135" ht="15.75" spans="2:21">
      <c r="B135" s="760">
        <v>32</v>
      </c>
      <c r="C135" s="209">
        <v>2056</v>
      </c>
      <c r="D135" s="768">
        <f t="shared" si="12"/>
        <v>953.571003116093</v>
      </c>
      <c r="E135" s="768">
        <f t="shared" si="13"/>
        <v>421.210649980284</v>
      </c>
      <c r="F135" s="762">
        <f t="shared" si="16"/>
        <v>1374.78165309638</v>
      </c>
      <c r="G135" s="768">
        <f t="shared" si="14"/>
        <v>348053.416137374</v>
      </c>
      <c r="H135" s="768">
        <f t="shared" si="15"/>
        <v>153741.887242804</v>
      </c>
      <c r="I135" s="762">
        <f t="shared" si="17"/>
        <v>501795.303380178</v>
      </c>
      <c r="J135" s="769">
        <f>+G135*1000/'I. Parametros Grales'!$C$145</f>
        <v>497219.165910534</v>
      </c>
      <c r="K135" s="769">
        <f>+H135*1000/'I. Parametros Grales'!$C$145</f>
        <v>219631.26748972</v>
      </c>
      <c r="L135" s="770">
        <f t="shared" si="18"/>
        <v>716850.433400254</v>
      </c>
      <c r="M135" s="770">
        <f>+L135*'I. Parametros Grales'!$C$148*'I. Parametros Grales'!$C$149</f>
        <v>905114.183586179</v>
      </c>
      <c r="N135" s="183"/>
      <c r="O135" s="183"/>
      <c r="P135" s="183"/>
      <c r="Q135" s="528"/>
      <c r="R135" s="528"/>
      <c r="S135" s="528"/>
      <c r="T135" s="528"/>
      <c r="U135" s="528"/>
    </row>
    <row r="136" ht="15.75" spans="2:21">
      <c r="B136" s="760">
        <v>33</v>
      </c>
      <c r="C136" s="209">
        <v>2057</v>
      </c>
      <c r="D136" s="768">
        <f t="shared" si="12"/>
        <v>953.296420264196</v>
      </c>
      <c r="E136" s="768">
        <f t="shared" si="13"/>
        <v>421.089361454162</v>
      </c>
      <c r="F136" s="762">
        <f t="shared" si="16"/>
        <v>1374.38578171836</v>
      </c>
      <c r="G136" s="768">
        <f t="shared" si="14"/>
        <v>347953.193396432</v>
      </c>
      <c r="H136" s="768">
        <f t="shared" si="15"/>
        <v>153697.616930769</v>
      </c>
      <c r="I136" s="762">
        <f t="shared" si="17"/>
        <v>501650.810327201</v>
      </c>
      <c r="J136" s="769">
        <f>+G136*1000/'I. Parametros Grales'!$C$145</f>
        <v>497075.990566331</v>
      </c>
      <c r="K136" s="769">
        <f>+H136*1000/'I. Parametros Grales'!$C$145</f>
        <v>219568.024186813</v>
      </c>
      <c r="L136" s="770">
        <f t="shared" si="18"/>
        <v>716644.014753144</v>
      </c>
      <c r="M136" s="770">
        <f>+L136*'I. Parametros Grales'!$C$148*'I. Parametros Grales'!$C$149</f>
        <v>904853.553981243</v>
      </c>
      <c r="N136" s="183"/>
      <c r="O136" s="183"/>
      <c r="P136" s="183"/>
      <c r="Q136" s="528"/>
      <c r="R136" s="528"/>
      <c r="S136" s="528"/>
      <c r="T136" s="528"/>
      <c r="U136" s="528"/>
    </row>
    <row r="137" ht="15.75" spans="2:21">
      <c r="B137" s="760">
        <v>34</v>
      </c>
      <c r="C137" s="760">
        <v>2058</v>
      </c>
      <c r="D137" s="768">
        <f t="shared" si="12"/>
        <v>952.646926210672</v>
      </c>
      <c r="E137" s="768">
        <f t="shared" si="13"/>
        <v>420.80246744045</v>
      </c>
      <c r="F137" s="762">
        <f t="shared" si="16"/>
        <v>1373.44939365112</v>
      </c>
      <c r="G137" s="768">
        <f t="shared" si="14"/>
        <v>347716.128066895</v>
      </c>
      <c r="H137" s="768">
        <f t="shared" si="15"/>
        <v>153592.900615764</v>
      </c>
      <c r="I137" s="762">
        <f t="shared" si="17"/>
        <v>501309.02868266</v>
      </c>
      <c r="J137" s="769">
        <f>+G137*1000/'I. Parametros Grales'!$C$145</f>
        <v>496737.325809851</v>
      </c>
      <c r="K137" s="769">
        <f>+H137*1000/'I. Parametros Grales'!$C$145</f>
        <v>219418.429451092</v>
      </c>
      <c r="L137" s="770">
        <f t="shared" si="18"/>
        <v>716155.755260943</v>
      </c>
      <c r="M137" s="770">
        <f>+L137*'I. Parametros Grales'!$C$148*'I. Parametros Grales'!$C$149</f>
        <v>904237.064723412</v>
      </c>
      <c r="N137" s="183"/>
      <c r="O137" s="183"/>
      <c r="P137" s="183"/>
      <c r="Q137" s="528"/>
      <c r="R137" s="528"/>
      <c r="S137" s="528"/>
      <c r="T137" s="528"/>
      <c r="U137" s="528"/>
    </row>
    <row r="138" ht="15.75" spans="2:21">
      <c r="B138" s="760">
        <v>35</v>
      </c>
      <c r="C138" s="209">
        <v>2059</v>
      </c>
      <c r="D138" s="768">
        <f t="shared" si="12"/>
        <v>951.648923152817</v>
      </c>
      <c r="E138" s="768">
        <f t="shared" si="13"/>
        <v>420.361630297429</v>
      </c>
      <c r="F138" s="762">
        <f t="shared" si="16"/>
        <v>1372.01055345025</v>
      </c>
      <c r="G138" s="768">
        <f t="shared" si="14"/>
        <v>347351.856950778</v>
      </c>
      <c r="H138" s="768">
        <f t="shared" si="15"/>
        <v>153431.995058562</v>
      </c>
      <c r="I138" s="762">
        <f t="shared" si="17"/>
        <v>500783.85200934</v>
      </c>
      <c r="J138" s="769">
        <f>+G138*1000/'I. Parametros Grales'!$C$145</f>
        <v>496216.938501112</v>
      </c>
      <c r="K138" s="769">
        <f>+H138*1000/'I. Parametros Grales'!$C$145</f>
        <v>219188.564369374</v>
      </c>
      <c r="L138" s="770">
        <f t="shared" si="18"/>
        <v>715405.502870486</v>
      </c>
      <c r="M138" s="770">
        <f>+L138*'I. Parametros Grales'!$C$148*'I. Parametros Grales'!$C$149</f>
        <v>903289.776351623</v>
      </c>
      <c r="N138" s="183"/>
      <c r="O138" s="183"/>
      <c r="P138" s="183"/>
      <c r="Q138" s="528"/>
      <c r="R138" s="528"/>
      <c r="S138" s="528"/>
      <c r="T138" s="528"/>
      <c r="U138" s="528"/>
    </row>
    <row r="139" ht="15.75" spans="2:21">
      <c r="B139" s="760">
        <v>36</v>
      </c>
      <c r="C139" s="209">
        <v>2060</v>
      </c>
      <c r="D139" s="768">
        <f t="shared" si="12"/>
        <v>950.341405105103</v>
      </c>
      <c r="E139" s="768">
        <f t="shared" si="13"/>
        <v>419.784074431176</v>
      </c>
      <c r="F139" s="762">
        <f t="shared" si="16"/>
        <v>1370.12547953628</v>
      </c>
      <c r="G139" s="768">
        <f t="shared" si="14"/>
        <v>346874.612863363</v>
      </c>
      <c r="H139" s="768">
        <f t="shared" si="15"/>
        <v>153221.187167379</v>
      </c>
      <c r="I139" s="762">
        <f t="shared" si="17"/>
        <v>500095.800030742</v>
      </c>
      <c r="J139" s="769">
        <f>+G139*1000/'I. Parametros Grales'!$C$145</f>
        <v>495535.161233375</v>
      </c>
      <c r="K139" s="769">
        <f>+H139*1000/'I. Parametros Grales'!$C$145</f>
        <v>218887.410239113</v>
      </c>
      <c r="L139" s="770">
        <f t="shared" si="18"/>
        <v>714422.571472489</v>
      </c>
      <c r="M139" s="770">
        <f>+L139*'I. Parametros Grales'!$C$148*'I. Parametros Grales'!$C$149</f>
        <v>902048.701354152</v>
      </c>
      <c r="N139" s="183"/>
      <c r="O139" s="183"/>
      <c r="P139" s="183"/>
      <c r="Q139" s="528"/>
      <c r="R139" s="528"/>
      <c r="S139" s="528"/>
      <c r="T139" s="528"/>
      <c r="U139" s="528"/>
    </row>
    <row r="140" ht="15.75" spans="2:21">
      <c r="B140" s="760">
        <v>37</v>
      </c>
      <c r="C140" s="760">
        <v>2061</v>
      </c>
      <c r="D140" s="768">
        <f t="shared" si="12"/>
        <v>948.757882548715</v>
      </c>
      <c r="E140" s="768">
        <f t="shared" si="13"/>
        <v>419.084602065662</v>
      </c>
      <c r="F140" s="762">
        <f t="shared" si="16"/>
        <v>1367.84248461438</v>
      </c>
      <c r="G140" s="768">
        <f t="shared" si="14"/>
        <v>346296.627130281</v>
      </c>
      <c r="H140" s="768">
        <f t="shared" si="15"/>
        <v>152965.879753967</v>
      </c>
      <c r="I140" s="762">
        <f t="shared" si="17"/>
        <v>499262.506884248</v>
      </c>
      <c r="J140" s="769">
        <f>+G140*1000/'I. Parametros Grales'!$C$145</f>
        <v>494709.467328973</v>
      </c>
      <c r="K140" s="769">
        <f>+H140*1000/'I. Parametros Grales'!$C$145</f>
        <v>218522.68536281</v>
      </c>
      <c r="L140" s="770">
        <f t="shared" si="18"/>
        <v>713232.152691782</v>
      </c>
      <c r="M140" s="770">
        <f>+L140*'I. Parametros Grales'!$C$148*'I. Parametros Grales'!$C$149</f>
        <v>900545.647338109</v>
      </c>
      <c r="N140" s="183"/>
      <c r="O140" s="183"/>
      <c r="P140" s="183"/>
      <c r="Q140" s="528"/>
      <c r="R140" s="528"/>
      <c r="S140" s="528"/>
      <c r="T140" s="528"/>
      <c r="U140" s="528"/>
    </row>
    <row r="141" ht="15.75" spans="2:21">
      <c r="B141" s="760">
        <v>38</v>
      </c>
      <c r="C141" s="209">
        <v>2062</v>
      </c>
      <c r="D141" s="768">
        <f t="shared" si="12"/>
        <v>946.938161873424</v>
      </c>
      <c r="E141" s="768">
        <f t="shared" si="13"/>
        <v>418.280796448758</v>
      </c>
      <c r="F141" s="762">
        <f t="shared" si="16"/>
        <v>1365.21895832218</v>
      </c>
      <c r="G141" s="768">
        <f t="shared" si="14"/>
        <v>345632.4290838</v>
      </c>
      <c r="H141" s="768">
        <f t="shared" si="15"/>
        <v>152672.490703797</v>
      </c>
      <c r="I141" s="762">
        <f t="shared" si="17"/>
        <v>498304.919787597</v>
      </c>
      <c r="J141" s="769">
        <f>+G141*1000/'I. Parametros Grales'!$C$145</f>
        <v>493760.612976857</v>
      </c>
      <c r="K141" s="769">
        <f>+H141*1000/'I. Parametros Grales'!$C$145</f>
        <v>218103.558148281</v>
      </c>
      <c r="L141" s="770">
        <f t="shared" si="18"/>
        <v>711864.171125138</v>
      </c>
      <c r="M141" s="770">
        <f>+L141*'I. Parametros Grales'!$C$148*'I. Parametros Grales'!$C$149</f>
        <v>898818.397885275</v>
      </c>
      <c r="N141" s="183"/>
      <c r="O141" s="183"/>
      <c r="P141" s="183"/>
      <c r="Q141" s="528"/>
      <c r="R141" s="528"/>
      <c r="S141" s="528"/>
      <c r="T141" s="528"/>
      <c r="U141" s="528"/>
    </row>
    <row r="142" ht="15.75" spans="2:21">
      <c r="B142" s="760">
        <v>39</v>
      </c>
      <c r="C142" s="209">
        <v>2063</v>
      </c>
      <c r="D142" s="768">
        <f t="shared" si="12"/>
        <v>944.92570515786</v>
      </c>
      <c r="E142" s="768">
        <f t="shared" si="13"/>
        <v>417.391855616403</v>
      </c>
      <c r="F142" s="762">
        <f t="shared" si="16"/>
        <v>1362.31756077426</v>
      </c>
      <c r="G142" s="768">
        <f t="shared" si="14"/>
        <v>344897.882382619</v>
      </c>
      <c r="H142" s="768">
        <f t="shared" si="15"/>
        <v>152348.027299987</v>
      </c>
      <c r="I142" s="762">
        <f t="shared" si="17"/>
        <v>497245.909682606</v>
      </c>
      <c r="J142" s="769">
        <f>+G142*1000/'I. Parametros Grales'!$C$145</f>
        <v>492711.260546599</v>
      </c>
      <c r="K142" s="769">
        <f>+H142*1000/'I. Parametros Grales'!$C$145</f>
        <v>217640.038999982</v>
      </c>
      <c r="L142" s="770">
        <f t="shared" si="18"/>
        <v>710351.29954658</v>
      </c>
      <c r="M142" s="770">
        <f>+L142*'I. Parametros Grales'!$C$148*'I. Parametros Grales'!$C$149</f>
        <v>896908.206498207</v>
      </c>
      <c r="N142" s="183"/>
      <c r="O142" s="183"/>
      <c r="P142" s="183"/>
      <c r="Q142" s="528"/>
      <c r="R142" s="528"/>
      <c r="S142" s="528"/>
      <c r="T142" s="528"/>
      <c r="U142" s="528"/>
    </row>
    <row r="143" ht="15.75" spans="2:23">
      <c r="B143" s="183" t="s">
        <v>392</v>
      </c>
      <c r="C143" s="183"/>
      <c r="D143" s="183"/>
      <c r="E143" s="183"/>
      <c r="F143" s="183"/>
      <c r="G143" s="183"/>
      <c r="H143" s="183"/>
      <c r="I143" s="183"/>
      <c r="J143" s="183"/>
      <c r="K143" s="183"/>
      <c r="L143" s="183"/>
      <c r="M143" s="197"/>
      <c r="N143" s="197"/>
      <c r="O143" s="197"/>
      <c r="P143" s="183"/>
      <c r="Q143" s="183"/>
      <c r="R143" s="183"/>
      <c r="S143" s="528"/>
      <c r="T143" s="528"/>
      <c r="U143" s="528"/>
      <c r="V143" s="528"/>
      <c r="W143" s="528"/>
    </row>
    <row r="144" ht="15.75" spans="2:23">
      <c r="B144" s="183"/>
      <c r="C144" s="183"/>
      <c r="D144" s="183"/>
      <c r="E144" s="183"/>
      <c r="F144" s="183"/>
      <c r="G144" s="183"/>
      <c r="H144" s="183"/>
      <c r="I144" s="183"/>
      <c r="J144" s="183"/>
      <c r="K144" s="183"/>
      <c r="L144" s="183"/>
      <c r="M144" s="183"/>
      <c r="N144" s="183"/>
      <c r="O144" s="183"/>
      <c r="P144" s="183"/>
      <c r="Q144" s="183"/>
      <c r="R144" s="183"/>
      <c r="S144" s="528"/>
      <c r="T144" s="528"/>
      <c r="U144" s="528"/>
      <c r="V144" s="528"/>
      <c r="W144" s="528"/>
    </row>
    <row r="145" ht="15.75" spans="1:23">
      <c r="A145" s="751" t="s">
        <v>394</v>
      </c>
      <c r="B145" s="751"/>
      <c r="C145" s="751"/>
      <c r="D145" s="751"/>
      <c r="E145" s="751"/>
      <c r="F145" s="751"/>
      <c r="G145" s="751"/>
      <c r="H145" s="751"/>
      <c r="I145" s="751"/>
      <c r="J145" s="751"/>
      <c r="K145" s="751"/>
      <c r="L145" s="751"/>
      <c r="M145" s="751"/>
      <c r="N145" s="751"/>
      <c r="O145" s="751"/>
      <c r="P145" s="751"/>
      <c r="Q145" s="751"/>
      <c r="R145" s="751"/>
      <c r="S145" s="751"/>
      <c r="T145" s="751"/>
      <c r="U145" s="751"/>
      <c r="V145" s="751"/>
      <c r="W145" s="528"/>
    </row>
    <row r="146" ht="15.75" spans="2:23">
      <c r="B146" s="183"/>
      <c r="C146" s="183"/>
      <c r="D146" s="183"/>
      <c r="E146" s="183"/>
      <c r="F146" s="183"/>
      <c r="G146" s="183"/>
      <c r="H146" s="183"/>
      <c r="I146" s="183"/>
      <c r="J146" s="183"/>
      <c r="K146" s="183"/>
      <c r="L146" s="183"/>
      <c r="M146" s="183"/>
      <c r="N146" s="183"/>
      <c r="O146" s="183"/>
      <c r="P146" s="183"/>
      <c r="Q146" s="183"/>
      <c r="R146" s="183"/>
      <c r="S146" s="528"/>
      <c r="T146" s="528"/>
      <c r="U146" s="528"/>
      <c r="V146" s="528"/>
      <c r="W146" s="528"/>
    </row>
    <row r="147" ht="15.75" spans="2:23">
      <c r="B147" s="183"/>
      <c r="C147" s="183"/>
      <c r="D147" s="183"/>
      <c r="E147" s="183"/>
      <c r="F147" s="183"/>
      <c r="G147" s="183"/>
      <c r="H147" s="183"/>
      <c r="I147" s="183" t="s">
        <v>475</v>
      </c>
      <c r="J147" s="183"/>
      <c r="K147" s="183"/>
      <c r="L147" s="183"/>
      <c r="M147" s="183"/>
      <c r="N147" s="183"/>
      <c r="O147" s="183"/>
      <c r="P147" s="183"/>
      <c r="Q147" s="183"/>
      <c r="R147" s="183"/>
      <c r="S147" s="528"/>
      <c r="T147" s="528"/>
      <c r="U147" s="528"/>
      <c r="V147" s="528"/>
      <c r="W147" s="528"/>
    </row>
    <row r="148" ht="30" spans="2:23">
      <c r="B148" s="774"/>
      <c r="C148" s="775"/>
      <c r="D148" s="775"/>
      <c r="E148" s="775"/>
      <c r="F148" s="183"/>
      <c r="G148" s="183"/>
      <c r="H148" s="183"/>
      <c r="I148" s="690" t="s">
        <v>200</v>
      </c>
      <c r="J148" s="598" t="s">
        <v>396</v>
      </c>
      <c r="K148" s="598" t="s">
        <v>476</v>
      </c>
      <c r="L148" s="598" t="s">
        <v>399</v>
      </c>
      <c r="M148" s="183"/>
      <c r="N148" s="183"/>
      <c r="O148" s="183"/>
      <c r="P148" s="183"/>
      <c r="Q148" s="183"/>
      <c r="R148" s="183"/>
      <c r="S148" s="528"/>
      <c r="T148" s="528"/>
      <c r="U148" s="528"/>
      <c r="V148" s="528"/>
      <c r="W148" s="528"/>
    </row>
    <row r="149" ht="15.75" spans="2:23">
      <c r="B149" s="706"/>
      <c r="C149" s="776"/>
      <c r="D149" s="776"/>
      <c r="E149" s="197"/>
      <c r="F149" s="183"/>
      <c r="G149" s="183"/>
      <c r="H149" s="183"/>
      <c r="I149" s="209">
        <v>2024</v>
      </c>
      <c r="J149" s="778">
        <v>0</v>
      </c>
      <c r="K149" s="770">
        <f t="shared" ref="K149:K188" si="19">+M103</f>
        <v>765813.442948897</v>
      </c>
      <c r="L149" s="779">
        <f>+J149-K149</f>
        <v>-765813.442948897</v>
      </c>
      <c r="M149" s="183"/>
      <c r="N149" s="183"/>
      <c r="O149" s="183"/>
      <c r="P149" s="183"/>
      <c r="Q149" s="183"/>
      <c r="R149" s="183"/>
      <c r="S149" s="528"/>
      <c r="T149" s="528"/>
      <c r="U149" s="528"/>
      <c r="V149" s="528"/>
      <c r="W149" s="528"/>
    </row>
    <row r="150" ht="15.75" spans="2:23">
      <c r="B150" s="706"/>
      <c r="C150" s="776"/>
      <c r="D150" s="776"/>
      <c r="E150" s="197"/>
      <c r="F150" s="183"/>
      <c r="G150" s="183"/>
      <c r="H150" s="183"/>
      <c r="I150" s="760">
        <v>2025</v>
      </c>
      <c r="J150" s="778">
        <v>0</v>
      </c>
      <c r="K150" s="770">
        <f t="shared" si="19"/>
        <v>775026.853702105</v>
      </c>
      <c r="L150" s="779">
        <f t="shared" ref="L150:L188" si="20">+J150-K150</f>
        <v>-775026.853702105</v>
      </c>
      <c r="M150" s="183"/>
      <c r="N150" s="183"/>
      <c r="O150" s="183"/>
      <c r="P150" s="183"/>
      <c r="Q150" s="183"/>
      <c r="R150" s="183"/>
      <c r="S150" s="528"/>
      <c r="T150" s="528"/>
      <c r="U150" s="528"/>
      <c r="V150" s="528"/>
      <c r="W150" s="528"/>
    </row>
    <row r="151" ht="15.75" spans="2:23">
      <c r="B151" s="706"/>
      <c r="C151" s="776"/>
      <c r="D151" s="776"/>
      <c r="E151" s="197"/>
      <c r="F151" s="183"/>
      <c r="G151" s="183"/>
      <c r="H151" s="183"/>
      <c r="I151" s="209">
        <v>2026</v>
      </c>
      <c r="J151" s="778">
        <v>0</v>
      </c>
      <c r="K151" s="770">
        <f t="shared" si="19"/>
        <v>783792.451901859</v>
      </c>
      <c r="L151" s="779">
        <f t="shared" si="20"/>
        <v>-783792.451901859</v>
      </c>
      <c r="M151" s="183"/>
      <c r="N151" s="183"/>
      <c r="O151" s="183"/>
      <c r="P151" s="183"/>
      <c r="Q151" s="183"/>
      <c r="R151" s="183"/>
      <c r="S151" s="528"/>
      <c r="T151" s="528"/>
      <c r="U151" s="528"/>
      <c r="V151" s="528"/>
      <c r="W151" s="528"/>
    </row>
    <row r="152" ht="15.75" spans="2:23">
      <c r="B152" s="706"/>
      <c r="C152" s="776"/>
      <c r="D152" s="776"/>
      <c r="E152" s="197"/>
      <c r="F152" s="183"/>
      <c r="G152" s="183"/>
      <c r="H152" s="183"/>
      <c r="I152" s="760">
        <v>2027</v>
      </c>
      <c r="J152" s="778">
        <v>0</v>
      </c>
      <c r="K152" s="770">
        <f t="shared" si="19"/>
        <v>792056.453776138</v>
      </c>
      <c r="L152" s="779">
        <f t="shared" si="20"/>
        <v>-792056.453776138</v>
      </c>
      <c r="M152" s="183"/>
      <c r="N152" s="183"/>
      <c r="O152" s="183"/>
      <c r="P152" s="183"/>
      <c r="Q152" s="183"/>
      <c r="R152" s="183"/>
      <c r="S152" s="528"/>
      <c r="T152" s="528"/>
      <c r="U152" s="528"/>
      <c r="V152" s="528"/>
      <c r="W152" s="528"/>
    </row>
    <row r="153" ht="15.75" spans="2:23">
      <c r="B153" s="706"/>
      <c r="C153" s="776"/>
      <c r="D153" s="776"/>
      <c r="E153" s="197"/>
      <c r="F153" s="183"/>
      <c r="G153" s="183"/>
      <c r="H153" s="183"/>
      <c r="I153" s="209">
        <v>2028</v>
      </c>
      <c r="J153" s="778">
        <v>0</v>
      </c>
      <c r="K153" s="770">
        <f t="shared" si="19"/>
        <v>799813.461670399</v>
      </c>
      <c r="L153" s="779">
        <f t="shared" si="20"/>
        <v>-799813.461670399</v>
      </c>
      <c r="M153" s="183"/>
      <c r="N153" s="183"/>
      <c r="O153" s="183"/>
      <c r="P153" s="183"/>
      <c r="Q153" s="183"/>
      <c r="R153" s="183"/>
      <c r="S153" s="528"/>
      <c r="T153" s="528"/>
      <c r="U153" s="528"/>
      <c r="V153" s="528"/>
      <c r="W153" s="528"/>
    </row>
    <row r="154" ht="15.75" spans="2:23">
      <c r="B154" s="706"/>
      <c r="C154" s="776"/>
      <c r="D154" s="776"/>
      <c r="E154" s="197"/>
      <c r="F154" s="183"/>
      <c r="G154" s="183"/>
      <c r="H154" s="183"/>
      <c r="I154" s="760">
        <v>2029</v>
      </c>
      <c r="J154" s="778">
        <v>0</v>
      </c>
      <c r="K154" s="770">
        <f t="shared" si="19"/>
        <v>807104.15076707</v>
      </c>
      <c r="L154" s="779">
        <f t="shared" si="20"/>
        <v>-807104.15076707</v>
      </c>
      <c r="M154" s="183"/>
      <c r="N154" s="183"/>
      <c r="O154" s="183"/>
      <c r="P154" s="183"/>
      <c r="Q154" s="183"/>
      <c r="R154" s="183"/>
      <c r="S154" s="528"/>
      <c r="T154" s="528"/>
      <c r="U154" s="528"/>
      <c r="V154" s="528"/>
      <c r="W154" s="528"/>
    </row>
    <row r="155" ht="15.75" spans="2:23">
      <c r="B155" s="706"/>
      <c r="C155" s="776"/>
      <c r="D155" s="776"/>
      <c r="E155" s="197"/>
      <c r="F155" s="183"/>
      <c r="G155" s="183"/>
      <c r="H155" s="183"/>
      <c r="I155" s="209">
        <v>2030</v>
      </c>
      <c r="J155" s="778">
        <v>0</v>
      </c>
      <c r="K155" s="770">
        <f t="shared" si="19"/>
        <v>814001.196629067</v>
      </c>
      <c r="L155" s="779">
        <f t="shared" si="20"/>
        <v>-814001.196629067</v>
      </c>
      <c r="M155" s="183"/>
      <c r="N155" s="183"/>
      <c r="O155" s="183"/>
      <c r="P155" s="183"/>
      <c r="Q155" s="183"/>
      <c r="R155" s="183"/>
      <c r="S155" s="528"/>
      <c r="T155" s="528"/>
      <c r="U155" s="528"/>
      <c r="V155" s="528"/>
      <c r="W155" s="528"/>
    </row>
    <row r="156" ht="15.75" spans="2:23">
      <c r="B156" s="706"/>
      <c r="C156" s="776"/>
      <c r="D156" s="776"/>
      <c r="E156" s="197"/>
      <c r="F156" s="183"/>
      <c r="G156" s="183"/>
      <c r="H156" s="183"/>
      <c r="I156" s="760">
        <v>2031</v>
      </c>
      <c r="J156" s="778">
        <v>0</v>
      </c>
      <c r="K156" s="770">
        <f t="shared" si="19"/>
        <v>820580.937513456</v>
      </c>
      <c r="L156" s="779">
        <f t="shared" si="20"/>
        <v>-820580.937513456</v>
      </c>
      <c r="M156" s="183"/>
      <c r="N156" s="183"/>
      <c r="O156" s="183"/>
      <c r="P156" s="183"/>
      <c r="Q156" s="183"/>
      <c r="R156" s="183"/>
      <c r="S156" s="528"/>
      <c r="T156" s="528"/>
      <c r="U156" s="528"/>
      <c r="V156" s="528"/>
      <c r="W156" s="528"/>
    </row>
    <row r="157" ht="15.75" spans="2:23">
      <c r="B157" s="706"/>
      <c r="C157" s="776"/>
      <c r="D157" s="776"/>
      <c r="E157" s="197"/>
      <c r="F157" s="183"/>
      <c r="G157" s="183"/>
      <c r="H157" s="183"/>
      <c r="I157" s="209">
        <v>2032</v>
      </c>
      <c r="J157" s="778">
        <v>0</v>
      </c>
      <c r="K157" s="770">
        <f t="shared" si="19"/>
        <v>826912.000742247</v>
      </c>
      <c r="L157" s="779">
        <f t="shared" si="20"/>
        <v>-826912.000742247</v>
      </c>
      <c r="M157" s="183"/>
      <c r="N157" s="183"/>
      <c r="O157" s="183"/>
      <c r="P157" s="183"/>
      <c r="Q157" s="183"/>
      <c r="R157" s="183"/>
      <c r="S157" s="528"/>
      <c r="T157" s="528"/>
      <c r="U157" s="528"/>
      <c r="V157" s="528"/>
      <c r="W157" s="528"/>
    </row>
    <row r="158" ht="15.75" spans="2:23">
      <c r="B158" s="706"/>
      <c r="C158" s="776"/>
      <c r="D158" s="776"/>
      <c r="E158" s="197"/>
      <c r="F158" s="183"/>
      <c r="G158" s="183"/>
      <c r="H158" s="183"/>
      <c r="I158" s="760">
        <v>2033</v>
      </c>
      <c r="J158" s="778">
        <v>0</v>
      </c>
      <c r="K158" s="770">
        <f t="shared" si="19"/>
        <v>833057.03766278</v>
      </c>
      <c r="L158" s="779">
        <f t="shared" si="20"/>
        <v>-833057.03766278</v>
      </c>
      <c r="M158" s="183"/>
      <c r="N158" s="183"/>
      <c r="O158" s="183"/>
      <c r="P158" s="183"/>
      <c r="Q158" s="183"/>
      <c r="R158" s="183"/>
      <c r="S158" s="528"/>
      <c r="T158" s="528"/>
      <c r="U158" s="528"/>
      <c r="V158" s="528"/>
      <c r="W158" s="528"/>
    </row>
    <row r="159" ht="15.75" spans="2:23">
      <c r="B159" s="706"/>
      <c r="C159" s="776"/>
      <c r="D159" s="776"/>
      <c r="E159" s="197"/>
      <c r="F159" s="183"/>
      <c r="G159" s="183"/>
      <c r="H159" s="183"/>
      <c r="I159" s="209">
        <v>2034</v>
      </c>
      <c r="J159" s="778">
        <v>0</v>
      </c>
      <c r="K159" s="770">
        <f t="shared" si="19"/>
        <v>839074.26583474</v>
      </c>
      <c r="L159" s="779">
        <f t="shared" si="20"/>
        <v>-839074.26583474</v>
      </c>
      <c r="M159" s="183"/>
      <c r="N159" s="183"/>
      <c r="O159" s="183"/>
      <c r="P159" s="183"/>
      <c r="Q159" s="183"/>
      <c r="R159" s="183"/>
      <c r="S159" s="528"/>
      <c r="T159" s="528"/>
      <c r="U159" s="528"/>
      <c r="V159" s="528"/>
      <c r="W159" s="528"/>
    </row>
    <row r="160" ht="15.75" spans="2:23">
      <c r="B160" s="706"/>
      <c r="C160" s="776"/>
      <c r="D160" s="776"/>
      <c r="E160" s="197"/>
      <c r="F160" s="183"/>
      <c r="G160" s="183"/>
      <c r="H160" s="183"/>
      <c r="I160" s="760">
        <v>2035</v>
      </c>
      <c r="J160" s="778">
        <v>0</v>
      </c>
      <c r="K160" s="770">
        <f t="shared" si="19"/>
        <v>844984.119236026</v>
      </c>
      <c r="L160" s="779">
        <f t="shared" si="20"/>
        <v>-844984.119236026</v>
      </c>
      <c r="M160" s="183"/>
      <c r="N160" s="183"/>
      <c r="O160" s="183"/>
      <c r="P160" s="183"/>
      <c r="Q160" s="183"/>
      <c r="R160" s="183"/>
      <c r="S160" s="528"/>
      <c r="T160" s="528"/>
      <c r="U160" s="528"/>
      <c r="V160" s="528"/>
      <c r="W160" s="528"/>
    </row>
    <row r="161" ht="15.75" spans="2:23">
      <c r="B161" s="706"/>
      <c r="C161" s="776"/>
      <c r="D161" s="776"/>
      <c r="E161" s="197"/>
      <c r="F161" s="183"/>
      <c r="G161" s="183"/>
      <c r="H161" s="183"/>
      <c r="I161" s="209">
        <v>2036</v>
      </c>
      <c r="J161" s="778">
        <v>0</v>
      </c>
      <c r="K161" s="770">
        <f t="shared" si="19"/>
        <v>850797.585949096</v>
      </c>
      <c r="L161" s="779">
        <f t="shared" si="20"/>
        <v>-850797.585949096</v>
      </c>
      <c r="M161" s="183"/>
      <c r="N161" s="183"/>
      <c r="O161" s="183"/>
      <c r="P161" s="183"/>
      <c r="Q161" s="183"/>
      <c r="R161" s="183"/>
      <c r="S161" s="528"/>
      <c r="T161" s="528"/>
      <c r="U161" s="528"/>
      <c r="V161" s="528"/>
      <c r="W161" s="528"/>
    </row>
    <row r="162" ht="15.75" spans="2:23">
      <c r="B162" s="706"/>
      <c r="C162" s="776"/>
      <c r="D162" s="776"/>
      <c r="E162" s="197"/>
      <c r="F162" s="183"/>
      <c r="G162" s="183"/>
      <c r="H162" s="183"/>
      <c r="I162" s="760">
        <v>2037</v>
      </c>
      <c r="J162" s="778">
        <v>0</v>
      </c>
      <c r="K162" s="770">
        <f t="shared" si="19"/>
        <v>856487.870474626</v>
      </c>
      <c r="L162" s="779">
        <f t="shared" si="20"/>
        <v>-856487.870474626</v>
      </c>
      <c r="M162" s="183"/>
      <c r="N162" s="183"/>
      <c r="O162" s="183"/>
      <c r="P162" s="183"/>
      <c r="Q162" s="183"/>
      <c r="R162" s="183"/>
      <c r="S162" s="528"/>
      <c r="T162" s="528"/>
      <c r="U162" s="528"/>
      <c r="V162" s="528"/>
      <c r="W162" s="528"/>
    </row>
    <row r="163" ht="15.75" spans="2:23">
      <c r="B163" s="706"/>
      <c r="C163" s="776"/>
      <c r="D163" s="776"/>
      <c r="E163" s="197"/>
      <c r="F163" s="183"/>
      <c r="G163" s="183"/>
      <c r="H163" s="183"/>
      <c r="I163" s="209">
        <v>2038</v>
      </c>
      <c r="J163" s="778">
        <v>0</v>
      </c>
      <c r="K163" s="770">
        <f t="shared" si="19"/>
        <v>861991.164825017</v>
      </c>
      <c r="L163" s="779">
        <f t="shared" si="20"/>
        <v>-861991.164825017</v>
      </c>
      <c r="M163" s="183"/>
      <c r="N163" s="183"/>
      <c r="O163" s="183"/>
      <c r="P163" s="183"/>
      <c r="Q163" s="183"/>
      <c r="R163" s="183"/>
      <c r="S163" s="528"/>
      <c r="T163" s="528"/>
      <c r="U163" s="528"/>
      <c r="V163" s="528"/>
      <c r="W163" s="528"/>
    </row>
    <row r="164" ht="15.75" spans="2:23">
      <c r="B164" s="706"/>
      <c r="C164" s="776"/>
      <c r="D164" s="776"/>
      <c r="E164" s="197"/>
      <c r="F164" s="183"/>
      <c r="G164" s="183"/>
      <c r="H164" s="183"/>
      <c r="I164" s="760">
        <v>2039</v>
      </c>
      <c r="J164" s="778">
        <v>0</v>
      </c>
      <c r="K164" s="770">
        <f t="shared" si="19"/>
        <v>867224.383675025</v>
      </c>
      <c r="L164" s="779">
        <f t="shared" si="20"/>
        <v>-867224.383675025</v>
      </c>
      <c r="M164" s="183"/>
      <c r="N164" s="183"/>
      <c r="O164" s="183"/>
      <c r="P164" s="183"/>
      <c r="Q164" s="183"/>
      <c r="R164" s="183"/>
      <c r="S164" s="528"/>
      <c r="T164" s="528"/>
      <c r="U164" s="528"/>
      <c r="V164" s="528"/>
      <c r="W164" s="528"/>
    </row>
    <row r="165" ht="15.75" spans="2:23">
      <c r="B165" s="706"/>
      <c r="C165" s="776"/>
      <c r="D165" s="776"/>
      <c r="E165" s="197"/>
      <c r="F165" s="183"/>
      <c r="G165" s="183"/>
      <c r="H165" s="183"/>
      <c r="I165" s="209">
        <v>2040</v>
      </c>
      <c r="J165" s="778">
        <v>0</v>
      </c>
      <c r="K165" s="770">
        <f t="shared" si="19"/>
        <v>872103.863379281</v>
      </c>
      <c r="L165" s="779">
        <f t="shared" si="20"/>
        <v>-872103.863379281</v>
      </c>
      <c r="M165" s="183"/>
      <c r="N165" s="183"/>
      <c r="O165" s="183"/>
      <c r="P165" s="183"/>
      <c r="Q165" s="183"/>
      <c r="R165" s="183"/>
      <c r="S165" s="528"/>
      <c r="T165" s="528"/>
      <c r="U165" s="528"/>
      <c r="V165" s="528"/>
      <c r="W165" s="528"/>
    </row>
    <row r="166" ht="15.75" spans="2:23">
      <c r="B166" s="706"/>
      <c r="C166" s="776"/>
      <c r="D166" s="776"/>
      <c r="E166" s="197"/>
      <c r="F166" s="183"/>
      <c r="G166" s="183"/>
      <c r="H166" s="183"/>
      <c r="I166" s="760">
        <v>2041</v>
      </c>
      <c r="J166" s="778">
        <v>0</v>
      </c>
      <c r="K166" s="770">
        <f t="shared" si="19"/>
        <v>876557.313921621</v>
      </c>
      <c r="L166" s="779">
        <f t="shared" si="20"/>
        <v>-876557.313921621</v>
      </c>
      <c r="M166" s="183"/>
      <c r="N166" s="183"/>
      <c r="O166" s="183"/>
      <c r="P166" s="183"/>
      <c r="Q166" s="183"/>
      <c r="R166" s="183"/>
      <c r="S166" s="528"/>
      <c r="T166" s="528"/>
      <c r="U166" s="528"/>
      <c r="V166" s="528"/>
      <c r="W166" s="528"/>
    </row>
    <row r="167" ht="15.75" spans="2:23">
      <c r="B167" s="706"/>
      <c r="C167" s="776"/>
      <c r="D167" s="776"/>
      <c r="E167" s="197"/>
      <c r="F167" s="183"/>
      <c r="G167" s="183"/>
      <c r="H167" s="183"/>
      <c r="I167" s="209">
        <v>2042</v>
      </c>
      <c r="J167" s="778">
        <v>0</v>
      </c>
      <c r="K167" s="770">
        <f t="shared" si="19"/>
        <v>880561.602496874</v>
      </c>
      <c r="L167" s="779">
        <f t="shared" si="20"/>
        <v>-880561.602496874</v>
      </c>
      <c r="M167" s="183"/>
      <c r="N167" s="183"/>
      <c r="O167" s="183"/>
      <c r="P167" s="183"/>
      <c r="Q167" s="183"/>
      <c r="R167" s="183"/>
      <c r="S167" s="528"/>
      <c r="T167" s="528"/>
      <c r="U167" s="528"/>
      <c r="V167" s="528"/>
      <c r="W167" s="528"/>
    </row>
    <row r="168" ht="15.75" spans="2:23">
      <c r="B168" s="706"/>
      <c r="C168" s="776"/>
      <c r="D168" s="776"/>
      <c r="E168" s="197"/>
      <c r="F168" s="183"/>
      <c r="G168" s="183"/>
      <c r="H168" s="183"/>
      <c r="I168" s="760">
        <v>2043</v>
      </c>
      <c r="J168" s="778">
        <v>0</v>
      </c>
      <c r="K168" s="770">
        <f t="shared" si="19"/>
        <v>884114.994144651</v>
      </c>
      <c r="L168" s="779">
        <f t="shared" si="20"/>
        <v>-884114.994144651</v>
      </c>
      <c r="M168" s="183"/>
      <c r="N168" s="183"/>
      <c r="O168" s="183"/>
      <c r="P168" s="183"/>
      <c r="Q168" s="183"/>
      <c r="R168" s="183"/>
      <c r="S168" s="528"/>
      <c r="T168" s="528"/>
      <c r="U168" s="528"/>
      <c r="V168" s="528"/>
      <c r="W168" s="528"/>
    </row>
    <row r="169" ht="15.75" spans="2:23">
      <c r="B169" s="706"/>
      <c r="C169" s="776"/>
      <c r="D169" s="776"/>
      <c r="E169" s="197"/>
      <c r="F169" s="183"/>
      <c r="G169" s="183"/>
      <c r="H169" s="183"/>
      <c r="I169" s="209">
        <v>2044</v>
      </c>
      <c r="J169" s="778">
        <v>0</v>
      </c>
      <c r="K169" s="770">
        <f t="shared" si="19"/>
        <v>887257.778500627</v>
      </c>
      <c r="L169" s="779">
        <f t="shared" si="20"/>
        <v>-887257.778500627</v>
      </c>
      <c r="M169" s="183"/>
      <c r="N169" s="183"/>
      <c r="O169" s="183"/>
      <c r="P169" s="183"/>
      <c r="Q169" s="183"/>
      <c r="R169" s="183"/>
      <c r="S169" s="528"/>
      <c r="T169" s="528"/>
      <c r="U169" s="528"/>
      <c r="V169" s="528"/>
      <c r="W169" s="528"/>
    </row>
    <row r="170" ht="15.75" spans="2:23">
      <c r="B170" s="706"/>
      <c r="C170" s="776"/>
      <c r="D170" s="776"/>
      <c r="E170" s="197"/>
      <c r="F170" s="183"/>
      <c r="G170" s="183"/>
      <c r="H170" s="183"/>
      <c r="I170" s="209">
        <v>2045</v>
      </c>
      <c r="J170" s="778">
        <v>0</v>
      </c>
      <c r="K170" s="770">
        <f t="shared" si="19"/>
        <v>890026.004186196</v>
      </c>
      <c r="L170" s="779">
        <f t="shared" si="20"/>
        <v>-890026.004186196</v>
      </c>
      <c r="M170" s="183"/>
      <c r="N170" s="183"/>
      <c r="O170" s="183"/>
      <c r="P170" s="183"/>
      <c r="Q170" s="183"/>
      <c r="R170" s="183"/>
      <c r="S170" s="528"/>
      <c r="T170" s="528"/>
      <c r="U170" s="528"/>
      <c r="V170" s="528"/>
      <c r="W170" s="528"/>
    </row>
    <row r="171" ht="15.75" spans="2:23">
      <c r="B171" s="706"/>
      <c r="C171" s="776"/>
      <c r="D171" s="776"/>
      <c r="E171" s="197"/>
      <c r="F171" s="183"/>
      <c r="G171" s="183"/>
      <c r="H171" s="183"/>
      <c r="I171" s="760">
        <v>2046</v>
      </c>
      <c r="J171" s="778">
        <v>0</v>
      </c>
      <c r="K171" s="770">
        <f t="shared" si="19"/>
        <v>892474.03329351</v>
      </c>
      <c r="L171" s="779">
        <f t="shared" si="20"/>
        <v>-892474.03329351</v>
      </c>
      <c r="M171" s="183"/>
      <c r="N171" s="183"/>
      <c r="O171" s="183"/>
      <c r="P171" s="183"/>
      <c r="Q171" s="183"/>
      <c r="R171" s="183"/>
      <c r="S171" s="528"/>
      <c r="T171" s="528"/>
      <c r="U171" s="528"/>
      <c r="V171" s="528"/>
      <c r="W171" s="528"/>
    </row>
    <row r="172" ht="15.75" spans="2:23">
      <c r="B172" s="706"/>
      <c r="C172" s="776"/>
      <c r="D172" s="776"/>
      <c r="E172" s="197"/>
      <c r="F172" s="183"/>
      <c r="G172" s="183"/>
      <c r="H172" s="183"/>
      <c r="I172" s="209">
        <v>2047</v>
      </c>
      <c r="J172" s="778">
        <v>0</v>
      </c>
      <c r="K172" s="770">
        <f t="shared" si="19"/>
        <v>894655.264047842</v>
      </c>
      <c r="L172" s="779">
        <f t="shared" si="20"/>
        <v>-894655.264047842</v>
      </c>
      <c r="M172" s="183"/>
      <c r="N172" s="183"/>
      <c r="O172" s="183"/>
      <c r="P172" s="183"/>
      <c r="Q172" s="183"/>
      <c r="R172" s="183"/>
      <c r="S172" s="528"/>
      <c r="T172" s="528"/>
      <c r="U172" s="528"/>
      <c r="V172" s="528"/>
      <c r="W172" s="528"/>
    </row>
    <row r="173" ht="15.75" spans="2:23">
      <c r="B173" s="706"/>
      <c r="C173" s="776"/>
      <c r="D173" s="776"/>
      <c r="E173" s="197"/>
      <c r="F173" s="777"/>
      <c r="G173" s="777"/>
      <c r="H173" s="777"/>
      <c r="I173" s="209">
        <v>2048</v>
      </c>
      <c r="J173" s="778">
        <v>0</v>
      </c>
      <c r="K173" s="770">
        <f t="shared" si="19"/>
        <v>896618.082566676</v>
      </c>
      <c r="L173" s="779">
        <f t="shared" si="20"/>
        <v>-896618.082566676</v>
      </c>
      <c r="M173" s="528"/>
      <c r="N173" s="528"/>
      <c r="O173" s="528"/>
      <c r="P173" s="528"/>
      <c r="Q173" s="528"/>
      <c r="R173" s="528"/>
      <c r="S173" s="528"/>
      <c r="T173" s="528"/>
      <c r="U173" s="528"/>
      <c r="V173" s="528"/>
      <c r="W173" s="528"/>
    </row>
    <row r="174" spans="2:12">
      <c r="B174" s="706"/>
      <c r="C174" s="776"/>
      <c r="D174" s="776"/>
      <c r="E174" s="197"/>
      <c r="F174" s="183"/>
      <c r="G174" s="183"/>
      <c r="H174" s="183"/>
      <c r="I174" s="760">
        <v>2049</v>
      </c>
      <c r="J174" s="778">
        <v>0</v>
      </c>
      <c r="K174" s="770">
        <f t="shared" si="19"/>
        <v>898396.416964265</v>
      </c>
      <c r="L174" s="779">
        <f t="shared" si="20"/>
        <v>-898396.416964265</v>
      </c>
    </row>
    <row r="175" spans="2:12">
      <c r="B175" s="706"/>
      <c r="C175" s="776"/>
      <c r="D175" s="776"/>
      <c r="E175" s="197"/>
      <c r="F175" s="183"/>
      <c r="G175" s="183"/>
      <c r="H175" s="183"/>
      <c r="I175" s="209">
        <v>2050</v>
      </c>
      <c r="J175" s="778">
        <v>0</v>
      </c>
      <c r="K175" s="770">
        <f t="shared" si="19"/>
        <v>900011.472312015</v>
      </c>
      <c r="L175" s="779">
        <f t="shared" si="20"/>
        <v>-900011.472312015</v>
      </c>
    </row>
    <row r="176" spans="2:12">
      <c r="B176" s="706"/>
      <c r="C176" s="776"/>
      <c r="D176" s="776"/>
      <c r="E176" s="197"/>
      <c r="F176" s="183"/>
      <c r="G176" s="183"/>
      <c r="H176" s="183"/>
      <c r="I176" s="209">
        <v>2051</v>
      </c>
      <c r="J176" s="778">
        <v>0</v>
      </c>
      <c r="K176" s="770">
        <f t="shared" si="19"/>
        <v>901461.320876162</v>
      </c>
      <c r="L176" s="779">
        <f t="shared" si="20"/>
        <v>-901461.320876162</v>
      </c>
    </row>
    <row r="177" spans="2:12">
      <c r="B177" s="706"/>
      <c r="C177" s="776"/>
      <c r="D177" s="776"/>
      <c r="E177" s="197"/>
      <c r="F177" s="183"/>
      <c r="G177" s="183"/>
      <c r="H177" s="183"/>
      <c r="I177" s="760">
        <v>2052</v>
      </c>
      <c r="J177" s="778">
        <v>0</v>
      </c>
      <c r="K177" s="770">
        <f t="shared" si="19"/>
        <v>902731.311880099</v>
      </c>
      <c r="L177" s="779">
        <f t="shared" si="20"/>
        <v>-902731.311880099</v>
      </c>
    </row>
    <row r="178" spans="2:12">
      <c r="B178" s="706"/>
      <c r="C178" s="776"/>
      <c r="D178" s="776"/>
      <c r="E178" s="197"/>
      <c r="F178" s="183"/>
      <c r="G178" s="183"/>
      <c r="H178" s="183"/>
      <c r="I178" s="209">
        <v>2053</v>
      </c>
      <c r="J178" s="778">
        <v>0</v>
      </c>
      <c r="K178" s="770">
        <f t="shared" si="19"/>
        <v>903780.57736802</v>
      </c>
      <c r="L178" s="779">
        <f t="shared" si="20"/>
        <v>-903780.57736802</v>
      </c>
    </row>
    <row r="179" spans="2:12">
      <c r="B179" s="706"/>
      <c r="C179" s="776"/>
      <c r="D179" s="776"/>
      <c r="E179" s="197"/>
      <c r="F179" s="183"/>
      <c r="G179" s="183"/>
      <c r="H179" s="183"/>
      <c r="I179" s="209">
        <v>2054</v>
      </c>
      <c r="J179" s="778">
        <v>0</v>
      </c>
      <c r="K179" s="770">
        <f t="shared" si="19"/>
        <v>904556.104661407</v>
      </c>
      <c r="L179" s="779">
        <f t="shared" si="20"/>
        <v>-904556.104661407</v>
      </c>
    </row>
    <row r="180" spans="2:12">
      <c r="B180" s="706"/>
      <c r="C180" s="776"/>
      <c r="D180" s="776"/>
      <c r="E180" s="197"/>
      <c r="F180" s="183"/>
      <c r="G180" s="183"/>
      <c r="H180" s="183"/>
      <c r="I180" s="760">
        <v>2055</v>
      </c>
      <c r="J180" s="778">
        <v>0</v>
      </c>
      <c r="K180" s="770">
        <f t="shared" si="19"/>
        <v>905009.893189529</v>
      </c>
      <c r="L180" s="779">
        <f t="shared" si="20"/>
        <v>-905009.893189529</v>
      </c>
    </row>
    <row r="181" spans="2:12">
      <c r="B181" s="706"/>
      <c r="C181" s="776"/>
      <c r="D181" s="776"/>
      <c r="E181" s="197"/>
      <c r="F181" s="183"/>
      <c r="G181" s="183"/>
      <c r="H181" s="183"/>
      <c r="I181" s="209">
        <v>2056</v>
      </c>
      <c r="J181" s="778">
        <v>0</v>
      </c>
      <c r="K181" s="770">
        <f t="shared" si="19"/>
        <v>905114.183586179</v>
      </c>
      <c r="L181" s="779">
        <f t="shared" si="20"/>
        <v>-905114.183586179</v>
      </c>
    </row>
    <row r="182" spans="2:12">
      <c r="B182" s="706"/>
      <c r="C182" s="776"/>
      <c r="D182" s="776"/>
      <c r="E182" s="197"/>
      <c r="F182" s="183"/>
      <c r="G182" s="183"/>
      <c r="H182" s="183"/>
      <c r="I182" s="209">
        <v>2057</v>
      </c>
      <c r="J182" s="778">
        <v>0</v>
      </c>
      <c r="K182" s="770">
        <f t="shared" si="19"/>
        <v>904853.553981243</v>
      </c>
      <c r="L182" s="779">
        <f t="shared" si="20"/>
        <v>-904853.553981243</v>
      </c>
    </row>
    <row r="183" spans="2:12">
      <c r="B183" s="706"/>
      <c r="C183" s="776"/>
      <c r="D183" s="776"/>
      <c r="E183" s="197"/>
      <c r="F183" s="183"/>
      <c r="G183" s="183"/>
      <c r="H183" s="183"/>
      <c r="I183" s="760">
        <v>2058</v>
      </c>
      <c r="J183" s="778">
        <v>0</v>
      </c>
      <c r="K183" s="770">
        <f t="shared" si="19"/>
        <v>904237.064723412</v>
      </c>
      <c r="L183" s="779">
        <f t="shared" si="20"/>
        <v>-904237.064723412</v>
      </c>
    </row>
    <row r="184" spans="2:12">
      <c r="B184" s="706"/>
      <c r="C184" s="776"/>
      <c r="D184" s="776"/>
      <c r="E184" s="197"/>
      <c r="F184" s="183"/>
      <c r="G184" s="183"/>
      <c r="H184" s="183"/>
      <c r="I184" s="209">
        <v>2059</v>
      </c>
      <c r="J184" s="778">
        <v>0</v>
      </c>
      <c r="K184" s="770">
        <f t="shared" si="19"/>
        <v>903289.776351623</v>
      </c>
      <c r="L184" s="779">
        <f t="shared" si="20"/>
        <v>-903289.776351623</v>
      </c>
    </row>
    <row r="185" spans="2:12">
      <c r="B185" s="706"/>
      <c r="C185" s="776"/>
      <c r="D185" s="776"/>
      <c r="E185" s="197"/>
      <c r="F185" s="183"/>
      <c r="G185" s="183"/>
      <c r="H185" s="183"/>
      <c r="I185" s="209">
        <v>2060</v>
      </c>
      <c r="J185" s="778">
        <v>0</v>
      </c>
      <c r="K185" s="770">
        <f t="shared" si="19"/>
        <v>902048.701354152</v>
      </c>
      <c r="L185" s="779">
        <f t="shared" si="20"/>
        <v>-902048.701354152</v>
      </c>
    </row>
    <row r="186" spans="2:12">
      <c r="B186" s="706"/>
      <c r="C186" s="776"/>
      <c r="D186" s="776"/>
      <c r="E186" s="197"/>
      <c r="F186" s="183"/>
      <c r="G186" s="183"/>
      <c r="H186" s="183"/>
      <c r="I186" s="760">
        <v>2061</v>
      </c>
      <c r="J186" s="778">
        <v>0</v>
      </c>
      <c r="K186" s="770">
        <f t="shared" si="19"/>
        <v>900545.647338109</v>
      </c>
      <c r="L186" s="779">
        <f t="shared" si="20"/>
        <v>-900545.647338109</v>
      </c>
    </row>
    <row r="187" spans="2:12">
      <c r="B187" s="706"/>
      <c r="C187" s="776"/>
      <c r="D187" s="776"/>
      <c r="E187" s="197"/>
      <c r="F187" s="183"/>
      <c r="G187" s="183"/>
      <c r="H187" s="183"/>
      <c r="I187" s="209">
        <v>2062</v>
      </c>
      <c r="J187" s="778">
        <v>0</v>
      </c>
      <c r="K187" s="770">
        <f t="shared" si="19"/>
        <v>898818.397885275</v>
      </c>
      <c r="L187" s="779">
        <f t="shared" si="20"/>
        <v>-898818.397885275</v>
      </c>
    </row>
    <row r="188" spans="2:12">
      <c r="B188" s="706"/>
      <c r="C188" s="776"/>
      <c r="D188" s="776"/>
      <c r="E188" s="197"/>
      <c r="F188" s="183"/>
      <c r="G188" s="183"/>
      <c r="H188" s="183"/>
      <c r="I188" s="209">
        <v>2063</v>
      </c>
      <c r="J188" s="778">
        <v>0</v>
      </c>
      <c r="K188" s="770">
        <f t="shared" si="19"/>
        <v>896908.206498207</v>
      </c>
      <c r="L188" s="779">
        <f t="shared" si="20"/>
        <v>-896908.206498207</v>
      </c>
    </row>
    <row r="189" spans="2:12">
      <c r="B189" s="183"/>
      <c r="C189" s="183"/>
      <c r="D189" s="183"/>
      <c r="E189" s="183"/>
      <c r="F189" s="183"/>
      <c r="G189" s="183"/>
      <c r="H189" s="183"/>
      <c r="I189" t="s">
        <v>392</v>
      </c>
      <c r="K189" s="197"/>
      <c r="L189" s="780"/>
    </row>
    <row r="190" spans="2:7">
      <c r="B190" s="274"/>
      <c r="C190" s="274"/>
      <c r="D190" s="274"/>
      <c r="E190" s="274"/>
      <c r="F190" s="274"/>
      <c r="G190" s="274"/>
    </row>
    <row r="192" ht="18.75" spans="2:23">
      <c r="B192" s="739" t="s">
        <v>477</v>
      </c>
      <c r="C192" s="739"/>
      <c r="D192" s="739"/>
      <c r="E192" s="739"/>
      <c r="F192" s="739"/>
      <c r="G192" s="739"/>
      <c r="H192" s="739"/>
      <c r="I192" s="739"/>
      <c r="J192" s="739"/>
      <c r="K192" s="739"/>
      <c r="L192" s="739"/>
      <c r="M192" s="739"/>
      <c r="N192" s="739"/>
      <c r="O192" s="739"/>
      <c r="P192" s="739"/>
      <c r="Q192" s="739"/>
      <c r="R192" s="739"/>
      <c r="S192" s="739"/>
      <c r="T192" s="739"/>
      <c r="U192" s="739"/>
      <c r="V192" s="739"/>
      <c r="W192" s="739"/>
    </row>
    <row r="195" ht="15.75" spans="2:10">
      <c r="B195" s="590" t="s">
        <v>402</v>
      </c>
      <c r="C195" s="80"/>
      <c r="D195" s="80"/>
      <c r="E195" s="80"/>
      <c r="F195" s="80"/>
      <c r="G195" s="80"/>
      <c r="H195" s="80"/>
      <c r="I195" s="80"/>
      <c r="J195" s="80"/>
    </row>
    <row r="196" ht="60" spans="2:10">
      <c r="B196" s="690" t="s">
        <v>200</v>
      </c>
      <c r="C196" s="598" t="s">
        <v>403</v>
      </c>
      <c r="D196" s="598" t="s">
        <v>404</v>
      </c>
      <c r="E196" s="598" t="s">
        <v>405</v>
      </c>
      <c r="F196" s="598" t="s">
        <v>406</v>
      </c>
      <c r="G196" s="598" t="s">
        <v>407</v>
      </c>
      <c r="H196" s="598" t="s">
        <v>408</v>
      </c>
      <c r="I196" s="598" t="s">
        <v>409</v>
      </c>
      <c r="J196" s="80" t="s">
        <v>410</v>
      </c>
    </row>
    <row r="197" spans="2:10">
      <c r="B197" s="781">
        <v>2023</v>
      </c>
      <c r="C197" s="782">
        <f>+'III. Sit. Actual O-D'!C107</f>
        <v>290828.380807504</v>
      </c>
      <c r="D197" s="782">
        <f>+'III. Sit. Actual O-D'!D107</f>
        <v>275804.41619</v>
      </c>
      <c r="E197" s="783">
        <f>+'III. Sit. Actual O-D'!E107</f>
        <v>-15023.9646175035</v>
      </c>
      <c r="F197" s="783">
        <f>+'III. Sit. Actual O-D'!F107</f>
        <v>932.142246177896</v>
      </c>
      <c r="G197" s="783">
        <f>+'III. Sit. Actual O-D'!G107</f>
        <v>892.57092618123</v>
      </c>
      <c r="H197" s="783">
        <f>+'III. Sit. Actual O-D'!H107</f>
        <v>-39.5713199966661</v>
      </c>
      <c r="I197" s="784">
        <f>+'III. Sit. Actual O-D'!I107</f>
        <v>0.948340789245573</v>
      </c>
      <c r="J197" s="80"/>
    </row>
    <row r="198" spans="2:10">
      <c r="B198" s="209">
        <v>2024</v>
      </c>
      <c r="C198" s="782">
        <f>+'III. Sit. Actual O-D'!C108</f>
        <v>294486.584981141</v>
      </c>
      <c r="D198" s="782">
        <f>+'III. Sit. Actual O-D'!D108</f>
        <v>291934.21619</v>
      </c>
      <c r="E198" s="783">
        <f>+'III. Sit. Actual O-D'!E108</f>
        <v>-2552.3687911412</v>
      </c>
      <c r="F198" s="783">
        <f>+'III. Sit. Actual O-D'!F108</f>
        <v>943.86725955494</v>
      </c>
      <c r="G198" s="783">
        <f>+'III. Sit. Actual O-D'!G108</f>
        <v>944.77092618123</v>
      </c>
      <c r="H198" s="783">
        <f>+'III. Sit. Actual O-D'!H108</f>
        <v>0.903666626290146</v>
      </c>
      <c r="I198" s="784">
        <f>+'III. Sit. Actual O-D'!I108</f>
        <v>0.991332818127166</v>
      </c>
      <c r="J198" s="785" t="s">
        <v>411</v>
      </c>
    </row>
    <row r="199" spans="2:10">
      <c r="B199" s="760">
        <v>2025</v>
      </c>
      <c r="C199" s="782">
        <f>+'III. Sit. Actual O-D'!C109</f>
        <v>298029.518176846</v>
      </c>
      <c r="D199" s="782">
        <f>+'III. Sit. Actual O-D'!D109</f>
        <v>297310.81619</v>
      </c>
      <c r="E199" s="783">
        <f>+'III. Sit. Actual O-D'!E109</f>
        <v>-718.701986845932</v>
      </c>
      <c r="F199" s="783">
        <f>+'III. Sit. Actual O-D'!F109</f>
        <v>955.222814669378</v>
      </c>
      <c r="G199" s="783">
        <f>+'III. Sit. Actual O-D'!G109</f>
        <v>944.77092618123</v>
      </c>
      <c r="H199" s="783">
        <f>+'III. Sit. Actual O-D'!H109</f>
        <v>-10.4518884881483</v>
      </c>
      <c r="I199" s="784">
        <f>+'III. Sit. Actual O-D'!I109</f>
        <v>0.997588487236961</v>
      </c>
      <c r="J199" s="80"/>
    </row>
    <row r="200" spans="2:10">
      <c r="B200" s="209">
        <v>2026</v>
      </c>
      <c r="C200" s="782">
        <f>+'III. Sit. Actual O-D'!C110</f>
        <v>301400.249133491</v>
      </c>
      <c r="D200" s="782">
        <f>+'III. Sit. Actual O-D'!D110</f>
        <v>300895.21619</v>
      </c>
      <c r="E200" s="783">
        <f>+'III. Sit. Actual O-D'!E110</f>
        <v>-505.032943490834</v>
      </c>
      <c r="F200" s="783">
        <f>+'III. Sit. Actual O-D'!F110</f>
        <v>966.026439530419</v>
      </c>
      <c r="G200" s="783">
        <f>+'III. Sit. Actual O-D'!G110</f>
        <v>944.77092618123</v>
      </c>
      <c r="H200" s="783">
        <f>+'III. Sit. Actual O-D'!H110</f>
        <v>-21.2555133491895</v>
      </c>
      <c r="I200" s="784">
        <f>+'III. Sit. Actual O-D'!I110</f>
        <v>0.998324377816731</v>
      </c>
      <c r="J200" s="80"/>
    </row>
    <row r="201" spans="2:10">
      <c r="B201" s="760">
        <v>2027</v>
      </c>
      <c r="C201" s="782">
        <f>+'III. Sit. Actual O-D'!C111</f>
        <v>304578.09579137</v>
      </c>
      <c r="D201" s="782">
        <f>+'III. Sit. Actual O-D'!D111</f>
        <v>302687.41619</v>
      </c>
      <c r="E201" s="783">
        <f>+'III. Sit. Actual O-D'!E111</f>
        <v>-1890.67960136983</v>
      </c>
      <c r="F201" s="783">
        <f>+'III. Sit. Actual O-D'!F111</f>
        <v>976.21184548516</v>
      </c>
      <c r="G201" s="783">
        <f>+'III. Sit. Actual O-D'!G111</f>
        <v>944.77092618123</v>
      </c>
      <c r="H201" s="783">
        <f>+'III. Sit. Actual O-D'!H111</f>
        <v>-31.4409193039301</v>
      </c>
      <c r="I201" s="784">
        <f>+'III. Sit. Actual O-D'!I111</f>
        <v>0.993792463648913</v>
      </c>
      <c r="J201" s="80"/>
    </row>
    <row r="202" spans="2:10">
      <c r="B202" s="209">
        <v>2028</v>
      </c>
      <c r="C202" s="782">
        <f>+'III. Sit. Actual O-D'!C112</f>
        <v>307560.982531588</v>
      </c>
      <c r="D202" s="782">
        <f>+'III. Sit. Actual O-D'!D112</f>
        <v>302687.41619</v>
      </c>
      <c r="E202" s="783">
        <f>+'III. Sit. Actual O-D'!E112</f>
        <v>-4873.56634158752</v>
      </c>
      <c r="F202" s="783">
        <f>+'III. Sit. Actual O-D'!F112</f>
        <v>985.772379908934</v>
      </c>
      <c r="G202" s="783">
        <f>+'III. Sit. Actual O-D'!G112</f>
        <v>944.77092618123</v>
      </c>
      <c r="H202" s="783">
        <f>+'III. Sit. Actual O-D'!H112</f>
        <v>-41.0014537277048</v>
      </c>
      <c r="I202" s="784">
        <f>+'III. Sit. Actual O-D'!I112</f>
        <v>0.984154146272156</v>
      </c>
      <c r="J202" s="80"/>
    </row>
    <row r="203" spans="2:10">
      <c r="B203" s="760">
        <v>2029</v>
      </c>
      <c r="C203" s="782">
        <f>+'III. Sit. Actual O-D'!C113</f>
        <v>310364.550625105</v>
      </c>
      <c r="D203" s="782">
        <f>+'III. Sit. Actual O-D'!D113</f>
        <v>302687.41619</v>
      </c>
      <c r="E203" s="783">
        <f>+'III. Sit. Actual O-D'!E113</f>
        <v>-7677.1344351045</v>
      </c>
      <c r="F203" s="783">
        <f>+'III. Sit. Actual O-D'!F113</f>
        <v>994.758175080463</v>
      </c>
      <c r="G203" s="783">
        <f>+'III. Sit. Actual O-D'!G113</f>
        <v>944.77092618123</v>
      </c>
      <c r="H203" s="783">
        <f>+'III. Sit. Actual O-D'!H113</f>
        <v>-49.9872488992335</v>
      </c>
      <c r="I203" s="784">
        <f>+'III. Sit. Actual O-D'!I113</f>
        <v>0.97526413883402</v>
      </c>
      <c r="J203" s="80"/>
    </row>
    <row r="204" spans="2:10">
      <c r="B204" s="209">
        <v>2030</v>
      </c>
      <c r="C204" s="782">
        <f>+'III. Sit. Actual O-D'!C114</f>
        <v>313016.746797761</v>
      </c>
      <c r="D204" s="782">
        <f>+'III. Sit. Actual O-D'!D114</f>
        <v>302687.41619</v>
      </c>
      <c r="E204" s="783">
        <f>+'III. Sit. Actual O-D'!E114</f>
        <v>-10329.3306077605</v>
      </c>
      <c r="F204" s="783">
        <f>+'III. Sit. Actual O-D'!F114</f>
        <v>1003.25880383898</v>
      </c>
      <c r="G204" s="783">
        <f>+'III. Sit. Actual O-D'!G114</f>
        <v>944.77092618123</v>
      </c>
      <c r="H204" s="783">
        <f>+'III. Sit. Actual O-D'!H114</f>
        <v>-58.4878776577464</v>
      </c>
      <c r="I204" s="784">
        <f>+'III. Sit. Actual O-D'!I114</f>
        <v>0.967000709344046</v>
      </c>
      <c r="J204" s="80"/>
    </row>
    <row r="205" spans="2:10">
      <c r="B205" s="760">
        <v>2031</v>
      </c>
      <c r="C205" s="782">
        <f>+'III. Sit. Actual O-D'!C115</f>
        <v>315546.926231074</v>
      </c>
      <c r="D205" s="782">
        <f>+'III. Sit. Actual O-D'!D115</f>
        <v>302687.41619</v>
      </c>
      <c r="E205" s="783">
        <f>+'III. Sit. Actual O-D'!E115</f>
        <v>-12859.5100410744</v>
      </c>
      <c r="F205" s="783">
        <f>+'III. Sit. Actual O-D'!F115</f>
        <v>1011.36835330473</v>
      </c>
      <c r="G205" s="783">
        <f>+'III. Sit. Actual O-D'!G115</f>
        <v>944.77092618123</v>
      </c>
      <c r="H205" s="783">
        <f>+'III. Sit. Actual O-D'!H115</f>
        <v>-66.5974271234961</v>
      </c>
      <c r="I205" s="784">
        <f>+'III. Sit. Actual O-D'!I115</f>
        <v>0.959246917107799</v>
      </c>
      <c r="J205" s="80"/>
    </row>
    <row r="206" spans="2:10">
      <c r="B206" s="209">
        <v>2032</v>
      </c>
      <c r="C206" s="782">
        <f>+'III. Sit. Actual O-D'!C116</f>
        <v>317981.478936714</v>
      </c>
      <c r="D206" s="782">
        <f>+'III. Sit. Actual O-D'!D116</f>
        <v>302687.41619</v>
      </c>
      <c r="E206" s="783">
        <f>+'III. Sit. Actual O-D'!E116</f>
        <v>-15294.0627467139</v>
      </c>
      <c r="F206" s="783">
        <f>+'III. Sit. Actual O-D'!F116</f>
        <v>1019.17140684844</v>
      </c>
      <c r="G206" s="783">
        <f>+'III. Sit. Actual O-D'!G116</f>
        <v>944.77092618123</v>
      </c>
      <c r="H206" s="783">
        <f>+'III. Sit. Actual O-D'!H116</f>
        <v>-74.4004806672123</v>
      </c>
      <c r="I206" s="784">
        <f>+'III. Sit. Actual O-D'!I116</f>
        <v>0.951902661759247</v>
      </c>
      <c r="J206" s="80"/>
    </row>
    <row r="207" spans="2:10">
      <c r="B207" s="760">
        <v>2033</v>
      </c>
      <c r="C207" s="782">
        <f>+'III. Sit. Actual O-D'!C117</f>
        <v>320344.496919713</v>
      </c>
      <c r="D207" s="782">
        <f>+'III. Sit. Actual O-D'!D117</f>
        <v>302687.41619</v>
      </c>
      <c r="E207" s="783">
        <f>+'III. Sit. Actual O-D'!E117</f>
        <v>-17657.0807297134</v>
      </c>
      <c r="F207" s="783">
        <f>+'III. Sit. Actual O-D'!F117</f>
        <v>1026.74518243498</v>
      </c>
      <c r="G207" s="783">
        <f>+'III. Sit. Actual O-D'!G117</f>
        <v>944.77092618123</v>
      </c>
      <c r="H207" s="783">
        <f>+'III. Sit. Actual O-D'!H117</f>
        <v>-81.974256253749</v>
      </c>
      <c r="I207" s="784">
        <f>+'III. Sit. Actual O-D'!I117</f>
        <v>0.944880961279198</v>
      </c>
      <c r="J207" s="80"/>
    </row>
    <row r="208" spans="2:10">
      <c r="B208" s="209">
        <v>2034</v>
      </c>
      <c r="C208" s="782">
        <f>+'III. Sit. Actual O-D'!C118</f>
        <v>322658.367212443</v>
      </c>
      <c r="D208" s="782">
        <f>+'III. Sit. Actual O-D'!D118</f>
        <v>302687.41619</v>
      </c>
      <c r="E208" s="783">
        <f>+'III. Sit. Actual O-D'!E118</f>
        <v>-19970.9510224432</v>
      </c>
      <c r="F208" s="783">
        <f>+'III. Sit. Actual O-D'!F118</f>
        <v>1034.16143337322</v>
      </c>
      <c r="G208" s="783">
        <f>+'III. Sit. Actual O-D'!G118</f>
        <v>944.77092618123</v>
      </c>
      <c r="H208" s="783">
        <f>+'III. Sit. Actual O-D'!H118</f>
        <v>-89.3905071919858</v>
      </c>
      <c r="I208" s="784">
        <f>+'III. Sit. Actual O-D'!I118</f>
        <v>0.938104964718631</v>
      </c>
      <c r="J208" s="80"/>
    </row>
    <row r="209" spans="2:10">
      <c r="B209" s="760">
        <v>2035</v>
      </c>
      <c r="C209" s="782">
        <f>+'III. Sit. Actual O-D'!C119</f>
        <v>324930.947515007</v>
      </c>
      <c r="D209" s="782">
        <f>+'III. Sit. Actual O-D'!D119</f>
        <v>302687.41619</v>
      </c>
      <c r="E209" s="783">
        <f>+'III. Sit. Actual O-D'!E119</f>
        <v>-22243.5313250066</v>
      </c>
      <c r="F209" s="783">
        <f>+'III. Sit. Actual O-D'!F119</f>
        <v>1041.44534459938</v>
      </c>
      <c r="G209" s="783">
        <f>+'III. Sit. Actual O-D'!G119</f>
        <v>944.77092618123</v>
      </c>
      <c r="H209" s="783">
        <f>+'III. Sit. Actual O-D'!H119</f>
        <v>-96.6744184181507</v>
      </c>
      <c r="I209" s="784">
        <f>+'III. Sit. Actual O-D'!I119</f>
        <v>0.93154382032515</v>
      </c>
      <c r="J209" s="80"/>
    </row>
    <row r="210" spans="2:10">
      <c r="B210" s="209">
        <v>2036</v>
      </c>
      <c r="C210" s="782">
        <f>+'III. Sit. Actual O-D'!C120</f>
        <v>327166.463194441</v>
      </c>
      <c r="D210" s="782">
        <f>+'III. Sit. Actual O-D'!D120</f>
        <v>302687.41619</v>
      </c>
      <c r="E210" s="783">
        <f>+'III. Sit. Actual O-D'!E120</f>
        <v>-24479.0470044406</v>
      </c>
      <c r="F210" s="783">
        <f>+'III. Sit. Actual O-D'!F120</f>
        <v>1048.61045895654</v>
      </c>
      <c r="G210" s="783">
        <f>+'III. Sit. Actual O-D'!G120</f>
        <v>944.77092618123</v>
      </c>
      <c r="H210" s="783">
        <f>+'III. Sit. Actual O-D'!H120</f>
        <v>-103.839532775311</v>
      </c>
      <c r="I210" s="784">
        <f>+'III. Sit. Actual O-D'!I120</f>
        <v>0.925178617742698</v>
      </c>
      <c r="J210" s="80"/>
    </row>
    <row r="211" spans="2:10">
      <c r="B211" s="760">
        <v>2037</v>
      </c>
      <c r="C211" s="782">
        <f>+'III. Sit. Actual O-D'!C121</f>
        <v>329354.610285515</v>
      </c>
      <c r="D211" s="782">
        <f>+'III. Sit. Actual O-D'!D121</f>
        <v>302687.41619</v>
      </c>
      <c r="E211" s="783">
        <f>+'III. Sit. Actual O-D'!E121</f>
        <v>-26667.1940955151</v>
      </c>
      <c r="F211" s="783">
        <f>+'III. Sit. Actual O-D'!F121</f>
        <v>1055.62375091511</v>
      </c>
      <c r="G211" s="783">
        <f>+'III. Sit. Actual O-D'!G121</f>
        <v>944.77092618123</v>
      </c>
      <c r="H211" s="783">
        <f>+'III. Sit. Actual O-D'!H121</f>
        <v>-110.852824733883</v>
      </c>
      <c r="I211" s="784">
        <f>+'III. Sit. Actual O-D'!I121</f>
        <v>0.919031969607477</v>
      </c>
      <c r="J211" s="80"/>
    </row>
    <row r="212" spans="2:10">
      <c r="B212" s="209">
        <v>2038</v>
      </c>
      <c r="C212" s="782">
        <f>+'III. Sit. Actual O-D'!C122</f>
        <v>331470.852007718</v>
      </c>
      <c r="D212" s="782">
        <f>+'III. Sit. Actual O-D'!D122</f>
        <v>302687.41619</v>
      </c>
      <c r="E212" s="783">
        <f>+'III. Sit. Actual O-D'!E122</f>
        <v>-28783.4358177183</v>
      </c>
      <c r="F212" s="783">
        <f>+'III. Sit. Actual O-D'!F122</f>
        <v>1062.40657694782</v>
      </c>
      <c r="G212" s="783">
        <f>+'III. Sit. Actual O-D'!G122</f>
        <v>944.77092618123</v>
      </c>
      <c r="H212" s="783">
        <f>+'III. Sit. Actual O-D'!H122</f>
        <v>-117.635650766586</v>
      </c>
      <c r="I212" s="784">
        <f>+'III. Sit. Actual O-D'!I122</f>
        <v>0.91316450407818</v>
      </c>
      <c r="J212" s="80"/>
    </row>
    <row r="213" spans="2:10">
      <c r="B213" s="760">
        <v>2039</v>
      </c>
      <c r="C213" s="782">
        <f>+'III. Sit. Actual O-D'!C123</f>
        <v>333483.238655913</v>
      </c>
      <c r="D213" s="782">
        <f>+'III. Sit. Actual O-D'!D123</f>
        <v>302687.41619</v>
      </c>
      <c r="E213" s="783">
        <f>+'III. Sit. Actual O-D'!E123</f>
        <v>-30795.8224659126</v>
      </c>
      <c r="F213" s="783">
        <f>+'III. Sit. Actual O-D'!F123</f>
        <v>1068.85653415357</v>
      </c>
      <c r="G213" s="783">
        <f>+'III. Sit. Actual O-D'!G123</f>
        <v>944.77092618123</v>
      </c>
      <c r="H213" s="783">
        <f>+'III. Sit. Actual O-D'!H123</f>
        <v>-124.085607972336</v>
      </c>
      <c r="I213" s="784">
        <f>+'III. Sit. Actual O-D'!I123</f>
        <v>0.907654062045116</v>
      </c>
      <c r="J213" s="80"/>
    </row>
    <row r="214" spans="2:10">
      <c r="B214" s="209">
        <v>2040</v>
      </c>
      <c r="C214" s="782">
        <f>+'III. Sit. Actual O-D'!C124</f>
        <v>335359.598137221</v>
      </c>
      <c r="D214" s="782">
        <f>+'III. Sit. Actual O-D'!D124</f>
        <v>302687.41619</v>
      </c>
      <c r="E214" s="783">
        <f>+'III. Sit. Actual O-D'!E124</f>
        <v>-32672.1819472215</v>
      </c>
      <c r="F214" s="783">
        <f>+'III. Sit. Actual O-D'!F124</f>
        <v>1074.87050685007</v>
      </c>
      <c r="G214" s="783">
        <f>+'III. Sit. Actual O-D'!G124</f>
        <v>944.77092618123</v>
      </c>
      <c r="H214" s="783">
        <f>+'III. Sit. Actual O-D'!H124</f>
        <v>-130.099580668839</v>
      </c>
      <c r="I214" s="784">
        <f>+'III. Sit. Actual O-D'!I124</f>
        <v>0.902575676591034</v>
      </c>
      <c r="J214" s="80"/>
    </row>
    <row r="215" spans="2:10">
      <c r="B215" s="760">
        <v>2041</v>
      </c>
      <c r="C215" s="782">
        <f>+'III. Sit. Actual O-D'!C125</f>
        <v>337072.131984298</v>
      </c>
      <c r="D215" s="782">
        <f>+'III. Sit. Actual O-D'!D125</f>
        <v>302687.41619</v>
      </c>
      <c r="E215" s="783">
        <f>+'III. Sit. Actual O-D'!E125</f>
        <v>-34384.7157942978</v>
      </c>
      <c r="F215" s="783">
        <f>+'III. Sit. Actual O-D'!F125</f>
        <v>1080.35939738557</v>
      </c>
      <c r="G215" s="783">
        <f>+'III. Sit. Actual O-D'!G125</f>
        <v>944.77092618123</v>
      </c>
      <c r="H215" s="783">
        <f>+'III. Sit. Actual O-D'!H125</f>
        <v>-135.58847120434</v>
      </c>
      <c r="I215" s="784">
        <f>+'III. Sit. Actual O-D'!I125</f>
        <v>0.897990036755992</v>
      </c>
      <c r="J215" s="80"/>
    </row>
    <row r="216" spans="2:10">
      <c r="B216" s="209">
        <v>2042</v>
      </c>
      <c r="C216" s="782">
        <f>+'III. Sit. Actual O-D'!C126</f>
        <v>338611.944687591</v>
      </c>
      <c r="D216" s="782">
        <f>+'III. Sit. Actual O-D'!D126</f>
        <v>302687.41619</v>
      </c>
      <c r="E216" s="783">
        <f>+'III. Sit. Actual O-D'!E126</f>
        <v>-35924.5284975907</v>
      </c>
      <c r="F216" s="783">
        <f>+'III. Sit. Actual O-D'!F126</f>
        <v>1085.29469451151</v>
      </c>
      <c r="G216" s="783">
        <f>+'III. Sit. Actual O-D'!G126</f>
        <v>944.77092618123</v>
      </c>
      <c r="H216" s="783">
        <f>+'III. Sit. Actual O-D'!H126</f>
        <v>-140.523768330279</v>
      </c>
      <c r="I216" s="784">
        <f>+'III. Sit. Actual O-D'!I126</f>
        <v>0.893906493668629</v>
      </c>
      <c r="J216" s="80"/>
    </row>
    <row r="217" spans="2:10">
      <c r="B217" s="760">
        <v>2043</v>
      </c>
      <c r="C217" s="782">
        <f>+'III. Sit. Actual O-D'!C127</f>
        <v>339978.369083884</v>
      </c>
      <c r="D217" s="782">
        <f>+'III. Sit. Actual O-D'!D127</f>
        <v>302687.41619</v>
      </c>
      <c r="E217" s="783">
        <f>+'III. Sit. Actual O-D'!E127</f>
        <v>-37290.9528938837</v>
      </c>
      <c r="F217" s="783">
        <f>+'III. Sit. Actual O-D'!F127</f>
        <v>1089.67425988424</v>
      </c>
      <c r="G217" s="783">
        <f>+'III. Sit. Actual O-D'!G127</f>
        <v>944.77092618123</v>
      </c>
      <c r="H217" s="783">
        <f>+'III. Sit. Actual O-D'!H127</f>
        <v>-144.903333703013</v>
      </c>
      <c r="I217" s="784">
        <f>+'III. Sit. Actual O-D'!I127</f>
        <v>0.890313748505915</v>
      </c>
      <c r="J217" s="80"/>
    </row>
    <row r="218" spans="2:10">
      <c r="B218" s="209">
        <v>2044</v>
      </c>
      <c r="C218" s="782">
        <f>+'III. Sit. Actual O-D'!C128</f>
        <v>341186.898185645</v>
      </c>
      <c r="D218" s="782">
        <f>+'III. Sit. Actual O-D'!D128</f>
        <v>302687.41619</v>
      </c>
      <c r="E218" s="783">
        <f>+'III. Sit. Actual O-D'!E128</f>
        <v>-38499.4819956448</v>
      </c>
      <c r="F218" s="783">
        <f>+'III. Sit. Actual O-D'!F128</f>
        <v>1093.54775059502</v>
      </c>
      <c r="G218" s="783">
        <f>+'III. Sit. Actual O-D'!G128</f>
        <v>944.77092618123</v>
      </c>
      <c r="H218" s="783">
        <f>+'III. Sit. Actual O-D'!H128</f>
        <v>-148.776824413786</v>
      </c>
      <c r="I218" s="784">
        <f>+'III. Sit. Actual O-D'!I128</f>
        <v>0.88716013950015</v>
      </c>
      <c r="J218" s="80"/>
    </row>
    <row r="219" spans="2:10">
      <c r="B219" s="209">
        <v>2045</v>
      </c>
      <c r="C219" s="782">
        <f>+'III. Sit. Actual O-D'!C129</f>
        <v>342251.394161925</v>
      </c>
      <c r="D219" s="782">
        <f>+'III. Sit. Actual O-D'!D129</f>
        <v>302687.41619</v>
      </c>
      <c r="E219" s="783">
        <f>+'III. Sit. Actual O-D'!E129</f>
        <v>-39563.9779719246</v>
      </c>
      <c r="F219" s="783">
        <f>+'III. Sit. Actual O-D'!F129</f>
        <v>1096.95959667284</v>
      </c>
      <c r="G219" s="783">
        <f>+'III. Sit. Actual O-D'!G129</f>
        <v>944.77092618123</v>
      </c>
      <c r="H219" s="783">
        <f>+'III. Sit. Actual O-D'!H129</f>
        <v>-152.188670491606</v>
      </c>
      <c r="I219" s="784">
        <f>+'III. Sit. Actual O-D'!I129</f>
        <v>0.884400827442046</v>
      </c>
      <c r="J219" s="80"/>
    </row>
    <row r="220" spans="2:10">
      <c r="B220" s="760">
        <v>2046</v>
      </c>
      <c r="C220" s="782">
        <f>+'III. Sit. Actual O-D'!C130</f>
        <v>343192.761460168</v>
      </c>
      <c r="D220" s="782">
        <f>+'III. Sit. Actual O-D'!D130</f>
        <v>302687.41619</v>
      </c>
      <c r="E220" s="783">
        <f>+'III. Sit. Actual O-D'!E130</f>
        <v>-40505.3452701683</v>
      </c>
      <c r="F220" s="783">
        <f>+'III. Sit. Actual O-D'!F130</f>
        <v>1099.97679955182</v>
      </c>
      <c r="G220" s="783">
        <f>+'III. Sit. Actual O-D'!G130</f>
        <v>944.77092618123</v>
      </c>
      <c r="H220" s="783">
        <f>+'III. Sit. Actual O-D'!H130</f>
        <v>-155.205873370592</v>
      </c>
      <c r="I220" s="784">
        <f>+'III. Sit. Actual O-D'!I130</f>
        <v>0.881974942892642</v>
      </c>
      <c r="J220" s="80"/>
    </row>
    <row r="221" spans="2:10">
      <c r="B221" s="209">
        <v>2047</v>
      </c>
      <c r="C221" s="782">
        <f>+'III. Sit. Actual O-D'!C131</f>
        <v>344031.533881589</v>
      </c>
      <c r="D221" s="782">
        <f>+'III. Sit. Actual O-D'!D131</f>
        <v>302687.41619</v>
      </c>
      <c r="E221" s="783">
        <f>+'III. Sit. Actual O-D'!E131</f>
        <v>-41344.1176915894</v>
      </c>
      <c r="F221" s="783">
        <f>+'III. Sit. Actual O-D'!F131</f>
        <v>1102.6651726974</v>
      </c>
      <c r="G221" s="783">
        <f>+'III. Sit. Actual O-D'!G131</f>
        <v>944.77092618123</v>
      </c>
      <c r="H221" s="783">
        <f>+'III. Sit. Actual O-D'!H131</f>
        <v>-157.894246516172</v>
      </c>
      <c r="I221" s="784">
        <f>+'III. Sit. Actual O-D'!I131</f>
        <v>0.879824627628991</v>
      </c>
      <c r="J221" s="80"/>
    </row>
    <row r="222" spans="2:10">
      <c r="B222" s="209">
        <v>2048</v>
      </c>
      <c r="C222" s="782">
        <f>+'III. Sit. Actual O-D'!C132</f>
        <v>344786.317866999</v>
      </c>
      <c r="D222" s="782">
        <f>+'III. Sit. Actual O-D'!D132</f>
        <v>302687.41619</v>
      </c>
      <c r="E222" s="783">
        <f>+'III. Sit. Actual O-D'!E132</f>
        <v>-42098.9016769991</v>
      </c>
      <c r="F222" s="783">
        <f>+'III. Sit. Actual O-D'!F132</f>
        <v>1105.08435213782</v>
      </c>
      <c r="G222" s="783">
        <f>+'III. Sit. Actual O-D'!G132</f>
        <v>944.77092618123</v>
      </c>
      <c r="H222" s="783">
        <f>+'III. Sit. Actual O-D'!H132</f>
        <v>-160.313425956588</v>
      </c>
      <c r="I222" s="784">
        <f>+'III. Sit. Actual O-D'!I132</f>
        <v>0.877898572259359</v>
      </c>
      <c r="J222" s="80"/>
    </row>
    <row r="223" spans="2:10">
      <c r="B223" s="760">
        <v>2049</v>
      </c>
      <c r="C223" s="782">
        <f>+'III. Sit. Actual O-D'!C133</f>
        <v>345470.160163739</v>
      </c>
      <c r="D223" s="782">
        <f>+'III. Sit. Actual O-D'!D133</f>
        <v>302687.41619</v>
      </c>
      <c r="E223" s="783">
        <f>+'III. Sit. Actual O-D'!E133</f>
        <v>-42782.7439737386</v>
      </c>
      <c r="F223" s="783">
        <f>+'III. Sit. Actual O-D'!F133</f>
        <v>1107.27615437096</v>
      </c>
      <c r="G223" s="783">
        <f>+'III. Sit. Actual O-D'!G133</f>
        <v>944.77092618123</v>
      </c>
      <c r="H223" s="783">
        <f>+'III. Sit. Actual O-D'!H133</f>
        <v>-162.505228189728</v>
      </c>
      <c r="I223" s="784">
        <f>+'III. Sit. Actual O-D'!I133</f>
        <v>0.876160812402839</v>
      </c>
      <c r="J223" s="80"/>
    </row>
    <row r="224" spans="2:10">
      <c r="B224" s="209">
        <v>2050</v>
      </c>
      <c r="C224" s="782">
        <f>+'III. Sit. Actual O-D'!C134</f>
        <v>346091.214988897</v>
      </c>
      <c r="D224" s="782">
        <f>+'III. Sit. Actual O-D'!D134</f>
        <v>302687.41619</v>
      </c>
      <c r="E224" s="783">
        <f>+'III. Sit. Actual O-D'!E134</f>
        <v>-43403.7987988969</v>
      </c>
      <c r="F224" s="783">
        <f>+'III. Sit. Actual O-D'!F134</f>
        <v>1109.266714708</v>
      </c>
      <c r="G224" s="783">
        <f>+'III. Sit. Actual O-D'!G134</f>
        <v>944.77092618123</v>
      </c>
      <c r="H224" s="783">
        <f>+'III. Sit. Actual O-D'!H134</f>
        <v>-164.495788526773</v>
      </c>
      <c r="I224" s="784">
        <f>+'III. Sit. Actual O-D'!I134</f>
        <v>0.874588556660448</v>
      </c>
      <c r="J224" s="80"/>
    </row>
    <row r="225" spans="2:10">
      <c r="B225" s="209">
        <v>2051</v>
      </c>
      <c r="C225" s="782">
        <f>+'III. Sit. Actual O-D'!C135</f>
        <v>346648.741050011</v>
      </c>
      <c r="D225" s="782">
        <f>+'III. Sit. Actual O-D'!D135</f>
        <v>302687.41619</v>
      </c>
      <c r="E225" s="783">
        <f>+'III. Sit. Actual O-D'!E135</f>
        <v>-43961.3248600112</v>
      </c>
      <c r="F225" s="783">
        <f>+'III. Sit. Actual O-D'!F135</f>
        <v>1111.05365721157</v>
      </c>
      <c r="G225" s="783">
        <f>+'III. Sit. Actual O-D'!G135</f>
        <v>944.77092618123</v>
      </c>
      <c r="H225" s="783">
        <f>+'III. Sit. Actual O-D'!H135</f>
        <v>-166.282731030345</v>
      </c>
      <c r="I225" s="784">
        <f>+'III. Sit. Actual O-D'!I135</f>
        <v>0.873181928407267</v>
      </c>
      <c r="J225" s="80"/>
    </row>
    <row r="226" spans="2:10">
      <c r="B226" s="760">
        <v>2052</v>
      </c>
      <c r="C226" s="782">
        <f>+'III. Sit. Actual O-D'!C136</f>
        <v>347137.104524366</v>
      </c>
      <c r="D226" s="782">
        <f>+'III. Sit. Actual O-D'!D136</f>
        <v>302687.41619</v>
      </c>
      <c r="E226" s="783">
        <f>+'III. Sit. Actual O-D'!E136</f>
        <v>-44449.6883343658</v>
      </c>
      <c r="F226" s="783">
        <f>+'III. Sit. Actual O-D'!F136</f>
        <v>1112.61892475758</v>
      </c>
      <c r="G226" s="783">
        <f>+'III. Sit. Actual O-D'!G136</f>
        <v>944.77092618123</v>
      </c>
      <c r="H226" s="783">
        <f>+'III. Sit. Actual O-D'!H136</f>
        <v>-167.847998576353</v>
      </c>
      <c r="I226" s="784">
        <f>+'III. Sit. Actual O-D'!I136</f>
        <v>0.871953508411989</v>
      </c>
      <c r="J226" s="80"/>
    </row>
    <row r="227" spans="2:10">
      <c r="B227" s="209">
        <v>2053</v>
      </c>
      <c r="C227" s="782">
        <f>+'III. Sit. Actual O-D'!C137</f>
        <v>347540.590011754</v>
      </c>
      <c r="D227" s="782">
        <f>+'III. Sit. Actual O-D'!D137</f>
        <v>302687.41619</v>
      </c>
      <c r="E227" s="783">
        <f>+'III. Sit. Actual O-D'!E137</f>
        <v>-44853.1738217538</v>
      </c>
      <c r="F227" s="783">
        <f>+'III. Sit. Actual O-D'!F137</f>
        <v>1113.91214747357</v>
      </c>
      <c r="G227" s="783">
        <f>+'III. Sit. Actual O-D'!G137</f>
        <v>944.77092618123</v>
      </c>
      <c r="H227" s="783">
        <f>+'III. Sit. Actual O-D'!H137</f>
        <v>-169.14122129234</v>
      </c>
      <c r="I227" s="784">
        <f>+'III. Sit. Actual O-D'!I137</f>
        <v>0.870941193314321</v>
      </c>
      <c r="J227" s="80"/>
    </row>
    <row r="228" spans="2:10">
      <c r="B228" s="209">
        <v>2054</v>
      </c>
      <c r="C228" s="782">
        <f>+'III. Sit. Actual O-D'!C138</f>
        <v>347838.811969454</v>
      </c>
      <c r="D228" s="782">
        <f>+'III. Sit. Actual O-D'!D138</f>
        <v>302687.41619</v>
      </c>
      <c r="E228" s="783">
        <f>+'III. Sit. Actual O-D'!E138</f>
        <v>-45151.395779454</v>
      </c>
      <c r="F228" s="783">
        <f>+'III. Sit. Actual O-D'!F138</f>
        <v>1114.86798708158</v>
      </c>
      <c r="G228" s="783">
        <f>+'III. Sit. Actual O-D'!G138</f>
        <v>944.77092618123</v>
      </c>
      <c r="H228" s="783">
        <f>+'III. Sit. Actual O-D'!H138</f>
        <v>-170.097060900354</v>
      </c>
      <c r="I228" s="784">
        <f>+'III. Sit. Actual O-D'!I138</f>
        <v>0.870194485992497</v>
      </c>
      <c r="J228" s="80"/>
    </row>
    <row r="229" spans="2:10">
      <c r="B229" s="760">
        <v>2055</v>
      </c>
      <c r="C229" s="782">
        <f>+'III. Sit. Actual O-D'!C139</f>
        <v>348013.312215148</v>
      </c>
      <c r="D229" s="782">
        <f>+'III. Sit. Actual O-D'!D139</f>
        <v>302687.41619</v>
      </c>
      <c r="E229" s="783">
        <f>+'III. Sit. Actual O-D'!E139</f>
        <v>-45325.8960251477</v>
      </c>
      <c r="F229" s="783">
        <f>+'III. Sit. Actual O-D'!F139</f>
        <v>1115.42728274086</v>
      </c>
      <c r="G229" s="783">
        <f>+'III. Sit. Actual O-D'!G139</f>
        <v>944.77092618123</v>
      </c>
      <c r="H229" s="783">
        <f>+'III. Sit. Actual O-D'!H139</f>
        <v>-170.656356559628</v>
      </c>
      <c r="I229" s="784">
        <f>+'III. Sit. Actual O-D'!I139</f>
        <v>0.869758154546897</v>
      </c>
      <c r="J229" s="80"/>
    </row>
    <row r="230" spans="2:10">
      <c r="B230" s="209">
        <v>2056</v>
      </c>
      <c r="C230" s="782">
        <f>+'III. Sit. Actual O-D'!C140</f>
        <v>348053.416137374</v>
      </c>
      <c r="D230" s="782">
        <f>+'III. Sit. Actual O-D'!D140</f>
        <v>302687.41619</v>
      </c>
      <c r="E230" s="783">
        <f>+'III. Sit. Actual O-D'!E140</f>
        <v>-45365.9999473739</v>
      </c>
      <c r="F230" s="783">
        <f>+'III. Sit. Actual O-D'!F140</f>
        <v>1115.55582095312</v>
      </c>
      <c r="G230" s="783">
        <f>+'III. Sit. Actual O-D'!G140</f>
        <v>944.77092618123</v>
      </c>
      <c r="H230" s="783">
        <f>+'III. Sit. Actual O-D'!H140</f>
        <v>-170.784894771892</v>
      </c>
      <c r="I230" s="784">
        <f>+'III. Sit. Actual O-D'!I140</f>
        <v>0.869657937994585</v>
      </c>
      <c r="J230" s="80"/>
    </row>
    <row r="231" spans="2:10">
      <c r="B231" s="209">
        <v>2057</v>
      </c>
      <c r="C231" s="782">
        <f>+'III. Sit. Actual O-D'!C141</f>
        <v>347953.193396432</v>
      </c>
      <c r="D231" s="782">
        <f>+'III. Sit. Actual O-D'!D141</f>
        <v>302687.41619</v>
      </c>
      <c r="E231" s="783">
        <f>+'III. Sit. Actual O-D'!E141</f>
        <v>-45265.7772064317</v>
      </c>
      <c r="F231" s="783">
        <f>+'III. Sit. Actual O-D'!F141</f>
        <v>1115.23459421933</v>
      </c>
      <c r="G231" s="783">
        <f>+'III. Sit. Actual O-D'!G141</f>
        <v>944.77092618123</v>
      </c>
      <c r="H231" s="783">
        <f>+'III. Sit. Actual O-D'!H141</f>
        <v>-170.463668038103</v>
      </c>
      <c r="I231" s="784">
        <f>+'III. Sit. Actual O-D'!I141</f>
        <v>0.869908430025934</v>
      </c>
      <c r="J231" s="80"/>
    </row>
    <row r="232" spans="2:10">
      <c r="B232" s="760">
        <v>2058</v>
      </c>
      <c r="C232" s="782">
        <f>+'III. Sit. Actual O-D'!C142</f>
        <v>347716.128066895</v>
      </c>
      <c r="D232" s="782">
        <f>+'III. Sit. Actual O-D'!D142</f>
        <v>302687.41619</v>
      </c>
      <c r="E232" s="783">
        <f>+'III. Sit. Actual O-D'!E142</f>
        <v>-45028.7118768953</v>
      </c>
      <c r="F232" s="783">
        <f>+'III. Sit. Actual O-D'!F142</f>
        <v>1114.47476944518</v>
      </c>
      <c r="G232" s="783">
        <f>+'III. Sit. Actual O-D'!G142</f>
        <v>944.77092618123</v>
      </c>
      <c r="H232" s="783">
        <f>+'III. Sit. Actual O-D'!H142</f>
        <v>-169.703843263948</v>
      </c>
      <c r="I232" s="784">
        <f>+'III. Sit. Actual O-D'!I142</f>
        <v>0.870501514763697</v>
      </c>
      <c r="J232" s="80"/>
    </row>
    <row r="233" spans="2:10">
      <c r="B233" s="209">
        <v>2059</v>
      </c>
      <c r="C233" s="782">
        <f>+'III. Sit. Actual O-D'!C143</f>
        <v>347351.856950778</v>
      </c>
      <c r="D233" s="782">
        <f>+'III. Sit. Actual O-D'!D143</f>
        <v>302687.41619</v>
      </c>
      <c r="E233" s="783">
        <f>+'III. Sit. Actual O-D'!E143</f>
        <v>-44664.4407607783</v>
      </c>
      <c r="F233" s="783">
        <f>+'III. Sit. Actual O-D'!F143</f>
        <v>1113.3072338166</v>
      </c>
      <c r="G233" s="783">
        <f>+'III. Sit. Actual O-D'!G143</f>
        <v>944.77092618123</v>
      </c>
      <c r="H233" s="783">
        <f>+'III. Sit. Actual O-D'!H143</f>
        <v>-168.536307635367</v>
      </c>
      <c r="I233" s="784">
        <f>+'III. Sit. Actual O-D'!I143</f>
        <v>0.871414417781254</v>
      </c>
      <c r="J233" s="80"/>
    </row>
    <row r="234" spans="2:10">
      <c r="B234" s="209">
        <v>2060</v>
      </c>
      <c r="C234" s="782">
        <f>+'III. Sit. Actual O-D'!C144</f>
        <v>346874.612863363</v>
      </c>
      <c r="D234" s="782">
        <f>+'III. Sit. Actual O-D'!D144</f>
        <v>302687.41619</v>
      </c>
      <c r="E234" s="783">
        <f>+'III. Sit. Actual O-D'!E144</f>
        <v>-44187.1966733626</v>
      </c>
      <c r="F234" s="783">
        <f>+'III. Sit. Actual O-D'!F144</f>
        <v>1111.77760533129</v>
      </c>
      <c r="G234" s="783">
        <f>+'III. Sit. Actual O-D'!G144</f>
        <v>944.77092618123</v>
      </c>
      <c r="H234" s="783">
        <f>+'III. Sit. Actual O-D'!H144</f>
        <v>-167.006679150061</v>
      </c>
      <c r="I234" s="784">
        <f>+'III. Sit. Actual O-D'!I144</f>
        <v>0.872613344895412</v>
      </c>
      <c r="J234" s="80"/>
    </row>
    <row r="235" spans="2:10">
      <c r="B235" s="760">
        <v>2061</v>
      </c>
      <c r="C235" s="782">
        <f>+'III. Sit. Actual O-D'!C145</f>
        <v>346296.627130281</v>
      </c>
      <c r="D235" s="782">
        <f>+'III. Sit. Actual O-D'!D145</f>
        <v>302687.41619</v>
      </c>
      <c r="E235" s="783">
        <f>+'III. Sit. Actual O-D'!E145</f>
        <v>-43609.2109402809</v>
      </c>
      <c r="F235" s="783">
        <f>+'III. Sit. Actual O-D'!F145</f>
        <v>1109.92508695603</v>
      </c>
      <c r="G235" s="783">
        <f>+'III. Sit. Actual O-D'!G145</f>
        <v>944.77092618123</v>
      </c>
      <c r="H235" s="783">
        <f>+'III. Sit. Actual O-D'!H145</f>
        <v>-165.154160774799</v>
      </c>
      <c r="I235" s="784">
        <f>+'III. Sit. Actual O-D'!I145</f>
        <v>0.874069778554688</v>
      </c>
      <c r="J235" s="80"/>
    </row>
    <row r="236" spans="2:10">
      <c r="B236" s="209">
        <v>2062</v>
      </c>
      <c r="C236" s="782">
        <f>+'III. Sit. Actual O-D'!C146</f>
        <v>345632.4290838</v>
      </c>
      <c r="D236" s="782">
        <f>+'III. Sit. Actual O-D'!D146</f>
        <v>302687.41619</v>
      </c>
      <c r="E236" s="783">
        <f>+'III. Sit. Actual O-D'!E146</f>
        <v>-42945.0128937998</v>
      </c>
      <c r="F236" s="783">
        <f>+'III. Sit. Actual O-D'!F146</f>
        <v>1107.79624706346</v>
      </c>
      <c r="G236" s="783">
        <f>+'III. Sit. Actual O-D'!G146</f>
        <v>944.77092618123</v>
      </c>
      <c r="H236" s="783">
        <f>+'III. Sit. Actual O-D'!H146</f>
        <v>-163.025320882231</v>
      </c>
      <c r="I236" s="784">
        <f>+'III. Sit. Actual O-D'!I146</f>
        <v>0.875749468857311</v>
      </c>
      <c r="J236" s="80"/>
    </row>
    <row r="237" spans="2:10">
      <c r="B237" s="209">
        <v>2063</v>
      </c>
      <c r="C237" s="782">
        <f>+'III. Sit. Actual O-D'!C147</f>
        <v>344897.882382619</v>
      </c>
      <c r="D237" s="782">
        <f>+'III. Sit. Actual O-D'!D147</f>
        <v>302687.41619</v>
      </c>
      <c r="E237" s="783">
        <f>+'III. Sit. Actual O-D'!E147</f>
        <v>-42210.466192619</v>
      </c>
      <c r="F237" s="783">
        <f>+'III. Sit. Actual O-D'!F147</f>
        <v>1105.44193071352</v>
      </c>
      <c r="G237" s="783">
        <f>+'III. Sit. Actual O-D'!G147</f>
        <v>944.77092618123</v>
      </c>
      <c r="H237" s="783">
        <f>+'III. Sit. Actual O-D'!H147</f>
        <v>-160.671004532293</v>
      </c>
      <c r="I237" s="784">
        <f>+'III. Sit. Actual O-D'!I147</f>
        <v>0.87761459739613</v>
      </c>
      <c r="J237" s="80"/>
    </row>
    <row r="238" spans="2:2">
      <c r="B238" t="s">
        <v>392</v>
      </c>
    </row>
  </sheetData>
  <mergeCells count="11">
    <mergeCell ref="B2:W2"/>
    <mergeCell ref="B4:W4"/>
    <mergeCell ref="B6:W6"/>
    <mergeCell ref="B53:W53"/>
    <mergeCell ref="D56:I56"/>
    <mergeCell ref="J56:O56"/>
    <mergeCell ref="P56:U56"/>
    <mergeCell ref="A145:V145"/>
    <mergeCell ref="B192:W192"/>
    <mergeCell ref="B56:B57"/>
    <mergeCell ref="C56:C57"/>
  </mergeCells>
  <pageMargins left="0.7" right="0.7" top="0.75" bottom="0.75" header="0.3" footer="0.3"/>
  <pageSetup paperSize="9" orientation="portrait"/>
  <headerFooter/>
  <ignoredErrors>
    <ignoredError sqref="F123:F142 F103:F122" formula="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399975585192419"/>
  </sheetPr>
  <dimension ref="A2:W49"/>
  <sheetViews>
    <sheetView zoomScale="80" zoomScaleNormal="80" workbookViewId="0">
      <selection activeCell="H48" sqref="H48:H49"/>
    </sheetView>
  </sheetViews>
  <sheetFormatPr defaultColWidth="10.6666666666667" defaultRowHeight="15"/>
  <cols>
    <col min="1" max="1" width="3.33333333333333" customWidth="1"/>
    <col min="2" max="2" width="5" customWidth="1"/>
    <col min="3" max="3" width="6.55238095238095" customWidth="1"/>
    <col min="4" max="4" width="15.3333333333333" customWidth="1"/>
    <col min="5" max="5" width="14.6666666666667" customWidth="1"/>
    <col min="6" max="6" width="16.3333333333333" customWidth="1"/>
    <col min="7" max="7" width="15.552380952381" customWidth="1"/>
    <col min="8" max="8" width="15.6666666666667" customWidth="1"/>
  </cols>
  <sheetData>
    <row r="2" s="588" customFormat="1" ht="21" customHeight="1" spans="2:23">
      <c r="B2" s="738" t="s">
        <v>0</v>
      </c>
      <c r="C2" s="738"/>
      <c r="D2" s="738"/>
      <c r="E2" s="738"/>
      <c r="F2" s="738"/>
      <c r="G2" s="738"/>
      <c r="H2" s="738"/>
      <c r="I2" s="738"/>
      <c r="J2" s="738"/>
      <c r="K2" s="738"/>
      <c r="L2" s="738"/>
      <c r="M2" s="738"/>
      <c r="N2" s="738"/>
      <c r="O2" s="738"/>
      <c r="P2" s="738"/>
      <c r="Q2" s="738"/>
      <c r="R2" s="745"/>
      <c r="S2" s="745"/>
      <c r="T2" s="745"/>
      <c r="U2" s="745"/>
      <c r="V2" s="745"/>
      <c r="W2" s="745"/>
    </row>
    <row r="3" s="589" customFormat="1" ht="11.1" customHeight="1" spans="1:14">
      <c r="A3" s="588"/>
      <c r="B3" s="588"/>
      <c r="J3" s="744"/>
      <c r="K3" s="744"/>
      <c r="L3" s="744"/>
      <c r="M3" s="588"/>
      <c r="N3" s="588"/>
    </row>
    <row r="4" s="589" customFormat="1" ht="15.75" customHeight="1" spans="1:23">
      <c r="A4" s="588"/>
      <c r="B4" s="739" t="s">
        <v>478</v>
      </c>
      <c r="C4" s="739"/>
      <c r="D4" s="739"/>
      <c r="E4" s="739"/>
      <c r="F4" s="739"/>
      <c r="G4" s="739"/>
      <c r="H4" s="739"/>
      <c r="I4" s="739"/>
      <c r="J4" s="739"/>
      <c r="K4" s="739"/>
      <c r="L4" s="739"/>
      <c r="M4" s="739"/>
      <c r="N4" s="739"/>
      <c r="O4" s="739"/>
      <c r="P4" s="739"/>
      <c r="Q4" s="739"/>
      <c r="R4" s="746"/>
      <c r="S4" s="746"/>
      <c r="T4" s="746"/>
      <c r="U4" s="746"/>
      <c r="V4" s="746"/>
      <c r="W4" s="746"/>
    </row>
    <row r="5" s="589" customFormat="1" ht="15.75" customHeight="1" spans="1:23">
      <c r="A5" s="588"/>
      <c r="B5" s="747"/>
      <c r="C5" s="747"/>
      <c r="D5" s="747"/>
      <c r="E5" s="747"/>
      <c r="F5" s="747"/>
      <c r="G5" s="747"/>
      <c r="H5" s="747"/>
      <c r="I5" s="747"/>
      <c r="J5" s="747"/>
      <c r="K5" s="747"/>
      <c r="L5" s="747"/>
      <c r="M5" s="747"/>
      <c r="N5" s="747"/>
      <c r="O5" s="747"/>
      <c r="P5" s="747"/>
      <c r="Q5" s="747"/>
      <c r="R5" s="746"/>
      <c r="S5" s="746"/>
      <c r="T5" s="746"/>
      <c r="U5" s="746"/>
      <c r="V5" s="746"/>
      <c r="W5" s="746"/>
    </row>
    <row r="7" ht="60" spans="2:9">
      <c r="B7" s="182" t="s">
        <v>200</v>
      </c>
      <c r="C7" s="182"/>
      <c r="D7" s="740" t="s">
        <v>479</v>
      </c>
      <c r="E7" s="740" t="s">
        <v>480</v>
      </c>
      <c r="F7" s="740" t="s">
        <v>481</v>
      </c>
      <c r="G7" s="740" t="s">
        <v>482</v>
      </c>
      <c r="H7" s="740" t="s">
        <v>483</v>
      </c>
      <c r="I7" s="687"/>
    </row>
    <row r="8" spans="2:8">
      <c r="B8" s="209">
        <v>0</v>
      </c>
      <c r="C8" s="209">
        <v>2024</v>
      </c>
      <c r="D8" s="341">
        <f>+SUM('VII.1 Calendario'!C14:K14)</f>
        <v>64081222.7394439</v>
      </c>
      <c r="E8" s="748">
        <f>+'VIII. Costos Op y Mant'!X9</f>
        <v>53343536.5570275</v>
      </c>
      <c r="F8" s="748">
        <v>0</v>
      </c>
      <c r="G8" s="341">
        <f>+SUM(D8:F8)</f>
        <v>117424759.296471</v>
      </c>
      <c r="H8" s="341">
        <f t="shared" ref="H8:H47" si="0">+G8/((1+$D$48)^B8)</f>
        <v>117424759.296471</v>
      </c>
    </row>
    <row r="9" spans="2:8">
      <c r="B9" s="209">
        <v>1</v>
      </c>
      <c r="C9" s="209">
        <v>2025</v>
      </c>
      <c r="D9" s="341">
        <f>+SUM('VII.1 Calendario'!L14:W14)</f>
        <v>988196979.807846</v>
      </c>
      <c r="E9" s="748">
        <f>+'VIII. Costos Op y Mant'!X10</f>
        <v>53343536.5570275</v>
      </c>
      <c r="F9" s="748">
        <v>0</v>
      </c>
      <c r="G9" s="341">
        <f t="shared" ref="G9:G47" si="1">+SUM(D9:F9)</f>
        <v>1041540516.36487</v>
      </c>
      <c r="H9" s="341">
        <f t="shared" si="0"/>
        <v>946855014.877157</v>
      </c>
    </row>
    <row r="10" spans="2:8">
      <c r="B10" s="209">
        <v>2</v>
      </c>
      <c r="C10" s="209">
        <v>2026</v>
      </c>
      <c r="D10" s="341">
        <f>+SUM('VII.1 Calendario'!X14:AC14)</f>
        <v>168367248.161654</v>
      </c>
      <c r="E10" s="748">
        <f>+'VIII. Costos Op y Mant'!X11</f>
        <v>150467875.448339</v>
      </c>
      <c r="F10" s="748" t="s">
        <v>484</v>
      </c>
      <c r="G10" s="341">
        <f t="shared" si="1"/>
        <v>318835123.609994</v>
      </c>
      <c r="H10" s="341">
        <f t="shared" si="0"/>
        <v>263500102.15702</v>
      </c>
    </row>
    <row r="11" spans="2:8">
      <c r="B11" s="209">
        <v>3</v>
      </c>
      <c r="C11" s="209">
        <v>2027</v>
      </c>
      <c r="D11" s="341">
        <v>0</v>
      </c>
      <c r="E11" s="748">
        <f>+'VIII. Costos Op y Mant'!X12</f>
        <v>151272317.370145</v>
      </c>
      <c r="F11" s="748">
        <f>+'IX. Costos MantenimientoMayor'!H11</f>
        <v>0</v>
      </c>
      <c r="G11" s="341">
        <f t="shared" si="1"/>
        <v>151272317.370145</v>
      </c>
      <c r="H11" s="341">
        <f t="shared" si="0"/>
        <v>113653131.006871</v>
      </c>
    </row>
    <row r="12" spans="2:8">
      <c r="B12" s="209">
        <v>4</v>
      </c>
      <c r="C12" s="209">
        <v>2028</v>
      </c>
      <c r="D12" s="341">
        <v>0</v>
      </c>
      <c r="E12" s="748">
        <f>+'VIII. Costos Op y Mant'!X13</f>
        <v>152027407.026809</v>
      </c>
      <c r="F12" s="748">
        <f>+'IX. Costos MantenimientoMayor'!H12</f>
        <v>0</v>
      </c>
      <c r="G12" s="341">
        <f t="shared" si="1"/>
        <v>152027407.026809</v>
      </c>
      <c r="H12" s="341">
        <f t="shared" si="0"/>
        <v>103836764.583573</v>
      </c>
    </row>
    <row r="13" spans="2:8">
      <c r="B13" s="209">
        <v>5</v>
      </c>
      <c r="C13" s="209">
        <v>2029</v>
      </c>
      <c r="D13" s="341">
        <v>0</v>
      </c>
      <c r="E13" s="748">
        <f>+'VIII. Costos Op y Mant'!X14</f>
        <v>152737103.858615</v>
      </c>
      <c r="F13" s="748">
        <f>+'IX. Costos MantenimientoMayor'!H13</f>
        <v>0</v>
      </c>
      <c r="G13" s="341">
        <f t="shared" si="1"/>
        <v>152737103.858615</v>
      </c>
      <c r="H13" s="341">
        <f t="shared" si="0"/>
        <v>94837724.6081145</v>
      </c>
    </row>
    <row r="14" spans="2:8">
      <c r="B14" s="209">
        <v>6</v>
      </c>
      <c r="C14" s="209">
        <v>2030</v>
      </c>
      <c r="D14" s="341">
        <v>0</v>
      </c>
      <c r="E14" s="748">
        <f>+'VIII. Costos Op y Mant'!X15</f>
        <v>153408482.315736</v>
      </c>
      <c r="F14" s="748">
        <f>+'IX. Costos MantenimientoMayor'!H14</f>
        <v>0</v>
      </c>
      <c r="G14" s="341">
        <f t="shared" si="1"/>
        <v>153408482.315736</v>
      </c>
      <c r="H14" s="341">
        <f t="shared" si="0"/>
        <v>86595088.916349</v>
      </c>
    </row>
    <row r="15" spans="2:8">
      <c r="B15" s="209">
        <v>7</v>
      </c>
      <c r="C15" s="209">
        <v>2031</v>
      </c>
      <c r="D15" s="341">
        <v>0</v>
      </c>
      <c r="E15" s="748">
        <f>+'VIII. Costos Op y Mant'!X16</f>
        <v>154048973.385625</v>
      </c>
      <c r="F15" s="748">
        <f>+'IX. Costos MantenimientoMayor'!H15</f>
        <v>0</v>
      </c>
      <c r="G15" s="341">
        <f t="shared" si="1"/>
        <v>154048973.385625</v>
      </c>
      <c r="H15" s="341">
        <f t="shared" si="0"/>
        <v>79051481.2979395</v>
      </c>
    </row>
    <row r="16" spans="2:8">
      <c r="B16" s="209">
        <v>8</v>
      </c>
      <c r="C16" s="209">
        <v>2032</v>
      </c>
      <c r="D16" s="341">
        <v>0</v>
      </c>
      <c r="E16" s="748">
        <f>+'VIII. Costos Op y Mant'!X17</f>
        <v>154665257.450939</v>
      </c>
      <c r="F16" s="748">
        <f>+'IX. Costos MantenimientoMayor'!H16</f>
        <v>1750000</v>
      </c>
      <c r="G16" s="341">
        <f t="shared" si="1"/>
        <v>156415257.450939</v>
      </c>
      <c r="H16" s="341">
        <f t="shared" si="0"/>
        <v>72968871.9782684</v>
      </c>
    </row>
    <row r="17" spans="2:8">
      <c r="B17" s="209">
        <v>9</v>
      </c>
      <c r="C17" s="209">
        <v>2033</v>
      </c>
      <c r="D17" s="341">
        <v>0</v>
      </c>
      <c r="E17" s="748">
        <f>+'VIII. Costos Op y Mant'!X18</f>
        <v>155263433.175621</v>
      </c>
      <c r="F17" s="748">
        <f>+'IX. Costos MantenimientoMayor'!H17</f>
        <v>32378260</v>
      </c>
      <c r="G17" s="341">
        <f t="shared" si="1"/>
        <v>187641693.175621</v>
      </c>
      <c r="H17" s="341">
        <f t="shared" si="0"/>
        <v>79578395.1831612</v>
      </c>
    </row>
    <row r="18" spans="2:8">
      <c r="B18" s="209">
        <v>10</v>
      </c>
      <c r="C18" s="209">
        <v>2034</v>
      </c>
      <c r="D18" s="341">
        <v>0</v>
      </c>
      <c r="E18" s="748">
        <f>+'VIII. Costos Op y Mant'!X19</f>
        <v>155849167.625858</v>
      </c>
      <c r="F18" s="748">
        <f>+'IX. Costos MantenimientoMayor'!H18</f>
        <v>125491485</v>
      </c>
      <c r="G18" s="341">
        <f t="shared" si="1"/>
        <v>281340652.625858</v>
      </c>
      <c r="H18" s="341">
        <f t="shared" si="0"/>
        <v>108469000.663625</v>
      </c>
    </row>
    <row r="19" spans="2:8">
      <c r="B19" s="209">
        <v>11</v>
      </c>
      <c r="C19" s="209">
        <v>2035</v>
      </c>
      <c r="D19" s="341">
        <v>0</v>
      </c>
      <c r="E19" s="748">
        <f>+'VIII. Costos Op y Mant'!X20</f>
        <v>156424449.904353</v>
      </c>
      <c r="F19" s="748">
        <f>+'IX. Costos MantenimientoMayor'!H19</f>
        <v>0</v>
      </c>
      <c r="G19" s="341">
        <f t="shared" si="1"/>
        <v>156424449.904353</v>
      </c>
      <c r="H19" s="341">
        <f t="shared" si="0"/>
        <v>54825815.4212083</v>
      </c>
    </row>
    <row r="20" spans="2:8">
      <c r="B20" s="209">
        <v>12</v>
      </c>
      <c r="C20" s="209">
        <v>2036</v>
      </c>
      <c r="D20" s="341">
        <v>0</v>
      </c>
      <c r="E20" s="748">
        <f>+'VIII. Costos Op y Mant'!X21</f>
        <v>156990349.622935</v>
      </c>
      <c r="F20" s="748">
        <f>+'IX. Costos MantenimientoMayor'!H20</f>
        <v>0</v>
      </c>
      <c r="G20" s="341">
        <f t="shared" si="1"/>
        <v>156990349.622935</v>
      </c>
      <c r="H20" s="341">
        <f t="shared" si="0"/>
        <v>50021963.4729905</v>
      </c>
    </row>
    <row r="21" spans="2:8">
      <c r="B21" s="209">
        <v>13</v>
      </c>
      <c r="C21" s="209">
        <v>2037</v>
      </c>
      <c r="D21" s="341">
        <v>0</v>
      </c>
      <c r="E21" s="748">
        <f>+'VIII. Costos Op y Mant'!X22</f>
        <v>157544258.429948</v>
      </c>
      <c r="F21" s="748">
        <f>+'IX. Costos MantenimientoMayor'!H21</f>
        <v>49394500</v>
      </c>
      <c r="G21" s="341">
        <f t="shared" si="1"/>
        <v>206938758.429948</v>
      </c>
      <c r="H21" s="341">
        <f t="shared" si="0"/>
        <v>59942787.1040912</v>
      </c>
    </row>
    <row r="22" spans="2:8">
      <c r="B22" s="209">
        <v>14</v>
      </c>
      <c r="C22" s="209">
        <v>2038</v>
      </c>
      <c r="D22" s="341">
        <v>0</v>
      </c>
      <c r="E22" s="748">
        <f>+'VIII. Costos Op y Mant'!X23</f>
        <v>158079965.07073</v>
      </c>
      <c r="F22" s="748">
        <f>+'IX. Costos MantenimientoMayor'!H22</f>
        <v>0</v>
      </c>
      <c r="G22" s="341">
        <f t="shared" si="1"/>
        <v>158079965.07073</v>
      </c>
      <c r="H22" s="341">
        <f t="shared" si="0"/>
        <v>41627395.4827367</v>
      </c>
    </row>
    <row r="23" spans="2:8">
      <c r="B23" s="209">
        <v>15</v>
      </c>
      <c r="C23" s="209">
        <v>2039</v>
      </c>
      <c r="D23" s="341">
        <v>0</v>
      </c>
      <c r="E23" s="748">
        <f>+'VIII. Costos Op y Mant'!X24</f>
        <v>158589381.778637</v>
      </c>
      <c r="F23" s="748">
        <f>+'IX. Costos MantenimientoMayor'!H23</f>
        <v>0</v>
      </c>
      <c r="G23" s="341">
        <f t="shared" si="1"/>
        <v>158589381.778637</v>
      </c>
      <c r="H23" s="341">
        <f t="shared" si="0"/>
        <v>37965037.1121766</v>
      </c>
    </row>
    <row r="24" spans="2:8">
      <c r="B24" s="209">
        <v>16</v>
      </c>
      <c r="C24" s="209">
        <v>2040</v>
      </c>
      <c r="D24" s="341">
        <v>0</v>
      </c>
      <c r="E24" s="748">
        <f>+'VIII. Costos Op y Mant'!X25</f>
        <v>159064364.491664</v>
      </c>
      <c r="F24" s="748">
        <f>+'IX. Costos MantenimientoMayor'!H24</f>
        <v>1750000</v>
      </c>
      <c r="G24" s="341">
        <f t="shared" si="1"/>
        <v>160814364.491664</v>
      </c>
      <c r="H24" s="341">
        <f t="shared" si="0"/>
        <v>34997891.1669627</v>
      </c>
    </row>
    <row r="25" spans="2:8">
      <c r="B25" s="209">
        <v>17</v>
      </c>
      <c r="C25" s="209">
        <v>2041</v>
      </c>
      <c r="D25" s="341">
        <v>0</v>
      </c>
      <c r="E25" s="748">
        <f>+'VIII. Costos Op y Mant'!X26</f>
        <v>159497876.289876</v>
      </c>
      <c r="F25" s="748">
        <f>+'IX. Costos MantenimientoMayor'!H25</f>
        <v>227685146</v>
      </c>
      <c r="G25" s="341">
        <f t="shared" si="1"/>
        <v>387183022.289876</v>
      </c>
      <c r="H25" s="341">
        <f t="shared" si="0"/>
        <v>76602096.848694</v>
      </c>
    </row>
    <row r="26" spans="2:8">
      <c r="B26" s="209">
        <v>18</v>
      </c>
      <c r="C26" s="209">
        <v>2042</v>
      </c>
      <c r="D26" s="341">
        <v>0</v>
      </c>
      <c r="E26" s="748">
        <f>+'VIII. Costos Op y Mant'!X27</f>
        <v>159887665.358894</v>
      </c>
      <c r="F26" s="748">
        <f>+'IX. Costos MantenimientoMayor'!H26</f>
        <v>15750000</v>
      </c>
      <c r="G26" s="341">
        <f t="shared" si="1"/>
        <v>175637665.358894</v>
      </c>
      <c r="H26" s="341">
        <f t="shared" si="0"/>
        <v>31589977.9539301</v>
      </c>
    </row>
    <row r="27" ht="15.6" customHeight="1" spans="2:8">
      <c r="B27" s="209">
        <v>19</v>
      </c>
      <c r="C27" s="209">
        <v>2043</v>
      </c>
      <c r="D27" s="341">
        <v>0</v>
      </c>
      <c r="E27" s="748">
        <f>+'VIII. Costos Op y Mant'!X28</f>
        <v>160233562.81264</v>
      </c>
      <c r="F27" s="748">
        <f>+'IX. Costos MantenimientoMayor'!H27</f>
        <v>0</v>
      </c>
      <c r="G27" s="341">
        <f t="shared" si="1"/>
        <v>160233562.81264</v>
      </c>
      <c r="H27" s="341">
        <f t="shared" si="0"/>
        <v>26199467.9184758</v>
      </c>
    </row>
    <row r="28" spans="2:8">
      <c r="B28" s="209">
        <v>20</v>
      </c>
      <c r="C28" s="209">
        <v>2044</v>
      </c>
      <c r="D28" s="341">
        <v>0</v>
      </c>
      <c r="E28" s="748">
        <f>+'VIII. Costos Op y Mant'!X29</f>
        <v>160539490.561157</v>
      </c>
      <c r="F28" s="748">
        <f>+'IX. Costos MantenimientoMayor'!H28</f>
        <v>0</v>
      </c>
      <c r="G28" s="341">
        <f t="shared" si="1"/>
        <v>160539490.561157</v>
      </c>
      <c r="H28" s="341">
        <f t="shared" si="0"/>
        <v>23863172.3181582</v>
      </c>
    </row>
    <row r="29" spans="2:8">
      <c r="B29" s="209">
        <v>21</v>
      </c>
      <c r="C29" s="209">
        <v>2045</v>
      </c>
      <c r="D29" s="341">
        <v>0</v>
      </c>
      <c r="E29" s="748">
        <f>+'VIII. Costos Op y Mant'!X30</f>
        <v>160808957.681853</v>
      </c>
      <c r="F29" s="748">
        <f>+'IX. Costos MantenimientoMayor'!H29</f>
        <v>0</v>
      </c>
      <c r="G29" s="341">
        <f t="shared" si="1"/>
        <v>160808957.681853</v>
      </c>
      <c r="H29" s="341">
        <f t="shared" si="0"/>
        <v>21730206.2623742</v>
      </c>
    </row>
    <row r="30" spans="2:8">
      <c r="B30" s="209">
        <v>22</v>
      </c>
      <c r="C30" s="209">
        <v>2046</v>
      </c>
      <c r="D30" s="341">
        <v>0</v>
      </c>
      <c r="E30" s="748">
        <f>+'VIII. Costos Op y Mant'!X31</f>
        <v>161047255.938519</v>
      </c>
      <c r="F30" s="748">
        <f>+'IX. Costos MantenimientoMayor'!H30</f>
        <v>188740447</v>
      </c>
      <c r="G30" s="341">
        <f t="shared" si="1"/>
        <v>349787702.938519</v>
      </c>
      <c r="H30" s="341">
        <f t="shared" si="0"/>
        <v>42970010.9115809</v>
      </c>
    </row>
    <row r="31" spans="2:8">
      <c r="B31" s="209">
        <v>23</v>
      </c>
      <c r="C31" s="209">
        <v>2047</v>
      </c>
      <c r="D31" s="341">
        <v>0</v>
      </c>
      <c r="E31" s="748">
        <f>+'VIII. Costos Op y Mant'!X32</f>
        <v>161259583.269346</v>
      </c>
      <c r="F31" s="748">
        <f>+'IX. Costos MantenimientoMayor'!H31</f>
        <v>49394500</v>
      </c>
      <c r="G31" s="341">
        <f t="shared" si="1"/>
        <v>210654083.269346</v>
      </c>
      <c r="H31" s="341">
        <f t="shared" si="0"/>
        <v>23525459.9513566</v>
      </c>
    </row>
    <row r="32" spans="2:8">
      <c r="B32" s="209">
        <v>24</v>
      </c>
      <c r="C32" s="209">
        <v>2048</v>
      </c>
      <c r="D32" s="341">
        <v>0</v>
      </c>
      <c r="E32" s="748">
        <f>+'VIII. Costos Op y Mant'!X33</f>
        <v>161450649.719411</v>
      </c>
      <c r="F32" s="748">
        <f>+'IX. Costos MantenimientoMayor'!H32</f>
        <v>1750000</v>
      </c>
      <c r="G32" s="341">
        <f t="shared" si="1"/>
        <v>163200649.719411</v>
      </c>
      <c r="H32" s="341">
        <f t="shared" si="0"/>
        <v>16569043.5558983</v>
      </c>
    </row>
    <row r="33" spans="2:8">
      <c r="B33" s="209">
        <v>25</v>
      </c>
      <c r="C33" s="209">
        <v>2049</v>
      </c>
      <c r="D33" s="341">
        <v>0</v>
      </c>
      <c r="E33" s="748">
        <f>+'VIII. Costos Op y Mant'!X34</f>
        <v>161623757.949803</v>
      </c>
      <c r="F33" s="748">
        <f>+'IX. Costos MantenimientoMayor'!H33</f>
        <v>0</v>
      </c>
      <c r="G33" s="341">
        <f t="shared" si="1"/>
        <v>161623757.949803</v>
      </c>
      <c r="H33" s="341">
        <f t="shared" si="0"/>
        <v>14917226.0691052</v>
      </c>
    </row>
    <row r="34" spans="2:8">
      <c r="B34" s="209">
        <v>26</v>
      </c>
      <c r="C34" s="209">
        <v>2050</v>
      </c>
      <c r="D34" s="341">
        <v>0</v>
      </c>
      <c r="E34" s="748">
        <f>+'VIII. Costos Op y Mant'!X35</f>
        <v>161780972.123702</v>
      </c>
      <c r="F34" s="748">
        <f>+'IX. Costos MantenimientoMayor'!H34</f>
        <v>14000000</v>
      </c>
      <c r="G34" s="341">
        <f t="shared" si="1"/>
        <v>175780972.123702</v>
      </c>
      <c r="H34" s="341">
        <f t="shared" si="0"/>
        <v>14748982.0751743</v>
      </c>
    </row>
    <row r="35" spans="2:8">
      <c r="B35" s="209">
        <v>27</v>
      </c>
      <c r="C35" s="209">
        <v>2051</v>
      </c>
      <c r="D35" s="341">
        <v>0</v>
      </c>
      <c r="E35" s="748">
        <f>+'VIII. Costos Op y Mant'!X36</f>
        <v>161922104.589911</v>
      </c>
      <c r="F35" s="748">
        <f>+'IX. Costos MantenimientoMayor'!H35</f>
        <v>0</v>
      </c>
      <c r="G35" s="341">
        <f t="shared" si="1"/>
        <v>161922104.589911</v>
      </c>
      <c r="H35" s="341">
        <f t="shared" si="0"/>
        <v>12351043.198394</v>
      </c>
    </row>
    <row r="36" spans="2:8">
      <c r="B36" s="209">
        <v>28</v>
      </c>
      <c r="C36" s="209">
        <v>2052</v>
      </c>
      <c r="D36" s="341">
        <v>0</v>
      </c>
      <c r="E36" s="748">
        <f>+'VIII. Costos Op y Mant'!X37</f>
        <v>162045729.199322</v>
      </c>
      <c r="F36" s="748">
        <f>+'IX. Costos MantenimientoMayor'!H36</f>
        <v>1750000</v>
      </c>
      <c r="G36" s="341">
        <f t="shared" si="1"/>
        <v>163795729.199322</v>
      </c>
      <c r="H36" s="341">
        <f t="shared" si="0"/>
        <v>11358144.4955608</v>
      </c>
    </row>
    <row r="37" spans="2:8">
      <c r="B37" s="209">
        <v>29</v>
      </c>
      <c r="C37" s="209">
        <v>2053</v>
      </c>
      <c r="D37" s="341">
        <v>0</v>
      </c>
      <c r="E37" s="748">
        <f>+'VIII. Costos Op y Mant'!X38</f>
        <v>162147867.746533</v>
      </c>
      <c r="F37" s="748">
        <f>+'IX. Costos MantenimientoMayor'!H37</f>
        <v>0</v>
      </c>
      <c r="G37" s="341">
        <f t="shared" si="1"/>
        <v>162147867.746533</v>
      </c>
      <c r="H37" s="341">
        <f t="shared" si="0"/>
        <v>10221705.6935652</v>
      </c>
    </row>
    <row r="38" spans="2:8">
      <c r="B38" s="209">
        <v>30</v>
      </c>
      <c r="C38" s="209">
        <v>2054</v>
      </c>
      <c r="D38" s="341">
        <v>0</v>
      </c>
      <c r="E38" s="748">
        <f>+'VIII. Costos Op y Mant'!X39</f>
        <v>162223359.823591</v>
      </c>
      <c r="F38" s="748">
        <f>+'IX. Costos MantenimientoMayor'!H38</f>
        <v>163247831</v>
      </c>
      <c r="G38" s="341">
        <f t="shared" si="1"/>
        <v>325471190.823591</v>
      </c>
      <c r="H38" s="341">
        <f t="shared" si="0"/>
        <v>18652283.0873084</v>
      </c>
    </row>
    <row r="39" spans="2:8">
      <c r="B39" s="209">
        <v>31</v>
      </c>
      <c r="C39" s="209">
        <v>2055</v>
      </c>
      <c r="D39" s="341">
        <v>0</v>
      </c>
      <c r="E39" s="748">
        <f>+'VIII. Costos Op y Mant'!X40</f>
        <v>162267532.915661</v>
      </c>
      <c r="F39" s="748">
        <f>+'IX. Costos MantenimientoMayor'!H39</f>
        <v>0</v>
      </c>
      <c r="G39" s="341">
        <f t="shared" si="1"/>
        <v>162267532.915661</v>
      </c>
      <c r="H39" s="341">
        <f t="shared" si="0"/>
        <v>8453925.05376925</v>
      </c>
    </row>
    <row r="40" spans="2:8">
      <c r="B40" s="209">
        <v>32</v>
      </c>
      <c r="C40" s="209">
        <v>2056</v>
      </c>
      <c r="D40" s="341">
        <v>0</v>
      </c>
      <c r="E40" s="748">
        <f>+'VIII. Costos Op y Mant'!X41</f>
        <v>162277684.845487</v>
      </c>
      <c r="F40" s="748">
        <f>+'IX. Costos MantenimientoMayor'!H40</f>
        <v>1750000</v>
      </c>
      <c r="G40" s="341">
        <f t="shared" si="1"/>
        <v>164027684.845487</v>
      </c>
      <c r="H40" s="341">
        <f t="shared" si="0"/>
        <v>7768751.50399566</v>
      </c>
    </row>
    <row r="41" spans="2:8">
      <c r="B41" s="209">
        <v>33</v>
      </c>
      <c r="C41" s="209">
        <v>2057</v>
      </c>
      <c r="D41" s="341">
        <v>0</v>
      </c>
      <c r="E41" s="748">
        <f>+'VIII. Costos Op y Mant'!X42</f>
        <v>162252314.403482</v>
      </c>
      <c r="F41" s="748">
        <f>+'IX. Costos MantenimientoMayor'!H41</f>
        <v>49394500</v>
      </c>
      <c r="G41" s="341">
        <f t="shared" si="1"/>
        <v>211646814.403482</v>
      </c>
      <c r="H41" s="341">
        <f t="shared" si="0"/>
        <v>9112827.00545783</v>
      </c>
    </row>
    <row r="42" spans="2:8">
      <c r="B42" s="209">
        <v>34</v>
      </c>
      <c r="C42" s="209">
        <v>2058</v>
      </c>
      <c r="D42" s="341">
        <v>0</v>
      </c>
      <c r="E42" s="748">
        <f>+'VIII. Costos Op y Mant'!X43</f>
        <v>162192303.55028</v>
      </c>
      <c r="F42" s="748">
        <f>+'IX. Costos MantenimientoMayor'!H42</f>
        <v>14000000</v>
      </c>
      <c r="G42" s="341">
        <f t="shared" si="1"/>
        <v>176192303.55028</v>
      </c>
      <c r="H42" s="341">
        <f t="shared" si="0"/>
        <v>6896609.53436704</v>
      </c>
    </row>
    <row r="43" spans="2:8">
      <c r="B43" s="209">
        <v>35</v>
      </c>
      <c r="C43" s="209">
        <v>2059</v>
      </c>
      <c r="D43" s="341">
        <v>0</v>
      </c>
      <c r="E43" s="748">
        <f>+'VIII. Costos Op y Mant'!X44</f>
        <v>162100091.751457</v>
      </c>
      <c r="F43" s="748">
        <f>+'IX. Costos MantenimientoMayor'!H43</f>
        <v>0</v>
      </c>
      <c r="G43" s="341">
        <f t="shared" si="1"/>
        <v>162100091.751457</v>
      </c>
      <c r="H43" s="341">
        <f t="shared" si="0"/>
        <v>5768186.3187826</v>
      </c>
    </row>
    <row r="44" spans="2:8">
      <c r="B44" s="209">
        <v>36</v>
      </c>
      <c r="C44" s="209">
        <v>2060</v>
      </c>
      <c r="D44" s="341">
        <v>0</v>
      </c>
      <c r="E44" s="748">
        <f>+'VIII. Costos Op y Mant'!X45</f>
        <v>161979281.910019</v>
      </c>
      <c r="F44" s="748">
        <f>+'IX. Costos MantenimientoMayor'!H44</f>
        <v>0</v>
      </c>
      <c r="G44" s="341">
        <f t="shared" si="1"/>
        <v>161979281.910019</v>
      </c>
      <c r="H44" s="341">
        <f t="shared" si="0"/>
        <v>5239897.64452099</v>
      </c>
    </row>
    <row r="45" spans="2:8">
      <c r="B45" s="209">
        <v>37</v>
      </c>
      <c r="C45" s="209">
        <v>2061</v>
      </c>
      <c r="D45" s="341">
        <v>0</v>
      </c>
      <c r="E45" s="748">
        <f>+'VIII. Costos Op y Mant'!X46</f>
        <v>161832970.270739</v>
      </c>
      <c r="F45" s="748">
        <f>+'IX. Costos MantenimientoMayor'!H45</f>
        <v>0</v>
      </c>
      <c r="G45" s="341">
        <f t="shared" si="1"/>
        <v>161832970.270739</v>
      </c>
      <c r="H45" s="341">
        <f t="shared" si="0"/>
        <v>4759240.52939596</v>
      </c>
    </row>
    <row r="46" spans="2:8">
      <c r="B46" s="209">
        <v>38</v>
      </c>
      <c r="C46" s="209">
        <v>2062</v>
      </c>
      <c r="D46" s="341">
        <v>0</v>
      </c>
      <c r="E46" s="748">
        <f>+'VIII. Costos Op y Mant'!X47</f>
        <v>161664834.797101</v>
      </c>
      <c r="F46" s="748">
        <f>+'IX. Costos MantenimientoMayor'!H46</f>
        <v>1750000</v>
      </c>
      <c r="G46" s="341">
        <f t="shared" si="1"/>
        <v>163414834.797101</v>
      </c>
      <c r="H46" s="341">
        <f t="shared" si="0"/>
        <v>4368873.23094918</v>
      </c>
    </row>
    <row r="47" spans="2:8">
      <c r="B47" s="209">
        <v>39</v>
      </c>
      <c r="C47" s="209">
        <v>2063</v>
      </c>
      <c r="D47" s="341">
        <v>0</v>
      </c>
      <c r="E47" s="748">
        <f>+'VIII. Costos Op y Mant'!X48</f>
        <v>161478891.224749</v>
      </c>
      <c r="F47" s="748">
        <f>+'IX. Costos MantenimientoMayor'!H47</f>
        <v>0</v>
      </c>
      <c r="G47" s="341">
        <f t="shared" si="1"/>
        <v>161478891.224749</v>
      </c>
      <c r="H47" s="341">
        <f t="shared" si="0"/>
        <v>3924650.94967495</v>
      </c>
    </row>
    <row r="48" spans="2:8">
      <c r="B48" s="235" t="s">
        <v>485</v>
      </c>
      <c r="C48" s="235"/>
      <c r="D48" s="741">
        <v>0.1</v>
      </c>
      <c r="G48" s="235" t="s">
        <v>486</v>
      </c>
      <c r="H48" s="749">
        <f>SUM(H8:H47)</f>
        <v>2747743006.4392</v>
      </c>
    </row>
    <row r="49" spans="2:8">
      <c r="B49" s="181" t="s">
        <v>487</v>
      </c>
      <c r="C49" s="181"/>
      <c r="D49" s="180">
        <f>+COUNT(E10:E47)</f>
        <v>38</v>
      </c>
      <c r="G49" s="181" t="s">
        <v>488</v>
      </c>
      <c r="H49" s="750">
        <f>+PMT(D48,D49,H48)*-1</f>
        <v>282322144.517571</v>
      </c>
    </row>
  </sheetData>
  <mergeCells count="5">
    <mergeCell ref="B2:Q2"/>
    <mergeCell ref="B4:Q4"/>
    <mergeCell ref="B7:C7"/>
    <mergeCell ref="B48:C48"/>
    <mergeCell ref="B49:C49"/>
  </mergeCells>
  <pageMargins left="0.7" right="0.7" top="0.75" bottom="0.75" header="0.3" footer="0.3"/>
  <pageSetup paperSize="9" scale="67" orientation="portrait"/>
  <headerFooter/>
  <ignoredErrors>
    <ignoredError sqref="G8" formulaRange="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399975585192419"/>
  </sheetPr>
  <dimension ref="A2:W49"/>
  <sheetViews>
    <sheetView zoomScale="80" zoomScaleNormal="80" workbookViewId="0">
      <selection activeCell="H48" sqref="H48:H49"/>
    </sheetView>
  </sheetViews>
  <sheetFormatPr defaultColWidth="10.6666666666667" defaultRowHeight="15"/>
  <cols>
    <col min="1" max="1" width="3.33333333333333" customWidth="1"/>
    <col min="2" max="2" width="5" customWidth="1"/>
    <col min="3" max="3" width="8.33333333333333" customWidth="1"/>
    <col min="4" max="4" width="16.6666666666667" customWidth="1"/>
    <col min="5" max="5" width="14.4380952380952" customWidth="1"/>
    <col min="6" max="6" width="16.3333333333333" customWidth="1"/>
    <col min="7" max="7" width="15.4380952380952" customWidth="1"/>
    <col min="8" max="8" width="15.552380952381" customWidth="1"/>
  </cols>
  <sheetData>
    <row r="2" s="588" customFormat="1" ht="21" spans="2:23">
      <c r="B2" s="738" t="s">
        <v>0</v>
      </c>
      <c r="C2" s="738"/>
      <c r="D2" s="738"/>
      <c r="E2" s="738"/>
      <c r="F2" s="738"/>
      <c r="G2" s="738"/>
      <c r="H2" s="738"/>
      <c r="I2" s="738"/>
      <c r="J2" s="738"/>
      <c r="K2" s="738"/>
      <c r="L2" s="738"/>
      <c r="M2" s="738"/>
      <c r="N2" s="738"/>
      <c r="O2" s="738"/>
      <c r="P2" s="738"/>
      <c r="Q2" s="738"/>
      <c r="R2" s="745"/>
      <c r="S2" s="745"/>
      <c r="T2" s="745"/>
      <c r="U2" s="745"/>
      <c r="V2" s="745"/>
      <c r="W2" s="745"/>
    </row>
    <row r="3" s="589" customFormat="1" ht="14.25" spans="1:14">
      <c r="A3" s="588"/>
      <c r="B3" s="588"/>
      <c r="J3" s="744"/>
      <c r="K3" s="744"/>
      <c r="L3" s="744"/>
      <c r="M3" s="588"/>
      <c r="N3" s="588"/>
    </row>
    <row r="4" s="589" customFormat="1" ht="18.75" spans="1:23">
      <c r="A4" s="588"/>
      <c r="B4" s="739" t="s">
        <v>489</v>
      </c>
      <c r="C4" s="739"/>
      <c r="D4" s="739"/>
      <c r="E4" s="739"/>
      <c r="F4" s="739"/>
      <c r="G4" s="739"/>
      <c r="H4" s="739"/>
      <c r="I4" s="739"/>
      <c r="J4" s="739"/>
      <c r="K4" s="739"/>
      <c r="L4" s="739"/>
      <c r="M4" s="739"/>
      <c r="N4" s="739"/>
      <c r="O4" s="739"/>
      <c r="P4" s="739"/>
      <c r="Q4" s="739"/>
      <c r="R4" s="746"/>
      <c r="S4" s="746"/>
      <c r="T4" s="746"/>
      <c r="U4" s="746"/>
      <c r="V4" s="746"/>
      <c r="W4" s="746"/>
    </row>
    <row r="7" ht="60" spans="2:8">
      <c r="B7" s="182" t="s">
        <v>200</v>
      </c>
      <c r="C7" s="182"/>
      <c r="D7" s="740" t="s">
        <v>479</v>
      </c>
      <c r="E7" s="740" t="s">
        <v>480</v>
      </c>
      <c r="F7" s="740" t="s">
        <v>481</v>
      </c>
      <c r="G7" s="740" t="s">
        <v>482</v>
      </c>
      <c r="H7" s="740" t="s">
        <v>483</v>
      </c>
    </row>
    <row r="8" spans="2:8">
      <c r="B8" s="209">
        <v>0</v>
      </c>
      <c r="C8" s="209">
        <v>2024</v>
      </c>
      <c r="D8" s="341">
        <f>+'IV2.2. Costos Alt2'!O9</f>
        <v>206270723.110646</v>
      </c>
      <c r="E8" s="341">
        <f>+'IV2.3. CostosOPEX Alt2'!Y9</f>
        <v>53343536.5570275</v>
      </c>
      <c r="F8" s="341">
        <v>0</v>
      </c>
      <c r="G8" s="341">
        <f>+SUM(D8:F8)</f>
        <v>259614259.667673</v>
      </c>
      <c r="H8" s="341">
        <f t="shared" ref="H8:H47" si="0">+G8/((1+$D$48)^B8)</f>
        <v>259614259.667673</v>
      </c>
    </row>
    <row r="9" spans="2:8">
      <c r="B9" s="209">
        <v>1</v>
      </c>
      <c r="C9" s="209">
        <v>2025</v>
      </c>
      <c r="D9" s="341">
        <f>+'IV2.2. Costos Alt2'!O10</f>
        <v>1153430435.81759</v>
      </c>
      <c r="E9" s="341">
        <f>+'IV2.3. CostosOPEX Alt2'!Y10</f>
        <v>53343536.5570275</v>
      </c>
      <c r="F9" s="341">
        <v>0</v>
      </c>
      <c r="G9" s="341">
        <f t="shared" ref="G9:G28" si="1">+SUM(D9:F9)</f>
        <v>1206773972.37462</v>
      </c>
      <c r="H9" s="341">
        <f t="shared" si="0"/>
        <v>1097067247.61329</v>
      </c>
    </row>
    <row r="10" spans="2:8">
      <c r="B10" s="209">
        <v>2</v>
      </c>
      <c r="C10" s="209">
        <v>2026</v>
      </c>
      <c r="D10" s="341">
        <f>+'IV2.2. Costos Alt2'!O11</f>
        <v>409527652.405845</v>
      </c>
      <c r="E10" s="341">
        <f>+'IV2.3. CostosOPEX Alt2'!Y11</f>
        <v>226479246.867822</v>
      </c>
      <c r="F10" s="341">
        <f>+'[2]IV.3.Costos de Inversión Alt'!O11</f>
        <v>0</v>
      </c>
      <c r="G10" s="341">
        <f t="shared" si="1"/>
        <v>636006899.273666</v>
      </c>
      <c r="H10" s="341">
        <f t="shared" si="0"/>
        <v>525625536.589807</v>
      </c>
    </row>
    <row r="11" spans="2:8">
      <c r="B11" s="209">
        <v>3</v>
      </c>
      <c r="C11" s="209">
        <v>2027</v>
      </c>
      <c r="D11" s="341">
        <v>0</v>
      </c>
      <c r="E11" s="341">
        <f>+'IV2.3. CostosOPEX Alt2'!Y12</f>
        <v>226907406.686661</v>
      </c>
      <c r="F11" s="341">
        <f>+'IV2.2. Costos Alt2'!O12</f>
        <v>0</v>
      </c>
      <c r="G11" s="341">
        <f t="shared" si="1"/>
        <v>226907406.686661</v>
      </c>
      <c r="H11" s="341">
        <f t="shared" si="0"/>
        <v>170478893.077882</v>
      </c>
    </row>
    <row r="12" spans="2:8">
      <c r="B12" s="209">
        <v>4</v>
      </c>
      <c r="C12" s="209">
        <v>2028</v>
      </c>
      <c r="D12" s="341">
        <v>0</v>
      </c>
      <c r="E12" s="341">
        <f>+'IV2.3. CostosOPEX Alt2'!Y13</f>
        <v>227320324.270383</v>
      </c>
      <c r="F12" s="341">
        <f>+'IV2.2. Costos Alt2'!O13</f>
        <v>0</v>
      </c>
      <c r="G12" s="341">
        <f t="shared" si="1"/>
        <v>227320324.270383</v>
      </c>
      <c r="H12" s="341">
        <f t="shared" si="0"/>
        <v>155262840.154623</v>
      </c>
    </row>
    <row r="13" spans="2:8">
      <c r="B13" s="209">
        <v>5</v>
      </c>
      <c r="C13" s="209">
        <v>2029</v>
      </c>
      <c r="D13" s="341">
        <v>0</v>
      </c>
      <c r="E13" s="341">
        <f>+'IV2.3. CostosOPEX Alt2'!Y14</f>
        <v>227712478.039415</v>
      </c>
      <c r="F13" s="341">
        <f>+'IV2.2. Costos Alt2'!O14</f>
        <v>0</v>
      </c>
      <c r="G13" s="341">
        <f t="shared" si="1"/>
        <v>227712478.039415</v>
      </c>
      <c r="H13" s="341">
        <f t="shared" si="0"/>
        <v>141391533.141313</v>
      </c>
    </row>
    <row r="14" spans="2:8">
      <c r="B14" s="209">
        <v>6</v>
      </c>
      <c r="C14" s="209">
        <v>2030</v>
      </c>
      <c r="D14" s="341">
        <v>0</v>
      </c>
      <c r="E14" s="341">
        <f>+'IV2.3. CostosOPEX Alt2'!Y15</f>
        <v>228094463.963419</v>
      </c>
      <c r="F14" s="341">
        <f>+'IV2.2. Costos Alt2'!O15</f>
        <v>0</v>
      </c>
      <c r="G14" s="341">
        <f t="shared" si="1"/>
        <v>228094463.963419</v>
      </c>
      <c r="H14" s="341">
        <f t="shared" si="0"/>
        <v>128753378.496941</v>
      </c>
    </row>
    <row r="15" spans="2:8">
      <c r="B15" s="209">
        <v>7</v>
      </c>
      <c r="C15" s="209">
        <v>2031</v>
      </c>
      <c r="D15" s="341">
        <v>0</v>
      </c>
      <c r="E15" s="341">
        <f>+'IV2.3. CostosOPEX Alt2'!Y16</f>
        <v>228454550.460468</v>
      </c>
      <c r="F15" s="341">
        <f>+'IV2.2. Costos Alt2'!O16</f>
        <v>0</v>
      </c>
      <c r="G15" s="341">
        <f t="shared" si="1"/>
        <v>228454550.460468</v>
      </c>
      <c r="H15" s="341">
        <f t="shared" si="0"/>
        <v>117233307.215536</v>
      </c>
    </row>
    <row r="16" spans="2:8">
      <c r="B16" s="209">
        <v>8</v>
      </c>
      <c r="C16" s="209">
        <v>2032</v>
      </c>
      <c r="D16" s="341">
        <v>0</v>
      </c>
      <c r="E16" s="341">
        <f>+'IV2.3. CostosOPEX Alt2'!Y17</f>
        <v>228797669.454064</v>
      </c>
      <c r="F16" s="341">
        <f>+'IV2.2. Costos Alt2'!O17</f>
        <v>1750000</v>
      </c>
      <c r="G16" s="341">
        <f t="shared" si="1"/>
        <v>230547669.454064</v>
      </c>
      <c r="H16" s="341">
        <f t="shared" si="0"/>
        <v>107552189.290475</v>
      </c>
    </row>
    <row r="17" spans="2:8">
      <c r="B17" s="209">
        <v>9</v>
      </c>
      <c r="C17" s="209">
        <v>2033</v>
      </c>
      <c r="D17" s="341">
        <v>0</v>
      </c>
      <c r="E17" s="341">
        <f>+'IV2.3. CostosOPEX Alt2'!Y18</f>
        <v>229123508.356838</v>
      </c>
      <c r="F17" s="341">
        <f>+'IV2.2. Costos Alt2'!O18</f>
        <v>32378260</v>
      </c>
      <c r="G17" s="341">
        <f t="shared" si="1"/>
        <v>261501768.356838</v>
      </c>
      <c r="H17" s="341">
        <f t="shared" si="0"/>
        <v>110902277.160328</v>
      </c>
    </row>
    <row r="18" spans="2:8">
      <c r="B18" s="209">
        <v>10</v>
      </c>
      <c r="C18" s="209">
        <v>2034</v>
      </c>
      <c r="D18" s="341">
        <v>0</v>
      </c>
      <c r="E18" s="341">
        <f>+'IV2.3. CostosOPEX Alt2'!Y19</f>
        <v>229431768.814494</v>
      </c>
      <c r="F18" s="341">
        <f>+'IV2.2. Costos Alt2'!O19</f>
        <v>125491485</v>
      </c>
      <c r="G18" s="341">
        <f t="shared" si="1"/>
        <v>354923253.814494</v>
      </c>
      <c r="H18" s="341">
        <f t="shared" si="0"/>
        <v>136838278.770673</v>
      </c>
    </row>
    <row r="19" spans="2:8">
      <c r="B19" s="209">
        <v>11</v>
      </c>
      <c r="C19" s="209">
        <v>2035</v>
      </c>
      <c r="D19" s="341">
        <v>0</v>
      </c>
      <c r="E19" s="341">
        <f>+'IV2.3. CostosOPEX Alt2'!Y20</f>
        <v>229722167.159553</v>
      </c>
      <c r="F19" s="341">
        <f>+'IV2.2. Costos Alt2'!O20</f>
        <v>0</v>
      </c>
      <c r="G19" s="341">
        <f t="shared" si="1"/>
        <v>229722167.159553</v>
      </c>
      <c r="H19" s="341">
        <f t="shared" si="0"/>
        <v>80516218.165068</v>
      </c>
    </row>
    <row r="20" spans="2:8">
      <c r="B20" s="209">
        <v>12</v>
      </c>
      <c r="C20" s="209">
        <v>2036</v>
      </c>
      <c r="D20" s="341">
        <v>0</v>
      </c>
      <c r="E20" s="341">
        <f>+'IV2.3. CostosOPEX Alt2'!Y21</f>
        <v>229994434.844996</v>
      </c>
      <c r="F20" s="341">
        <f>+'IV2.2. Costos Alt2'!O21</f>
        <v>0</v>
      </c>
      <c r="G20" s="341">
        <f t="shared" si="1"/>
        <v>229994434.844996</v>
      </c>
      <c r="H20" s="341">
        <f t="shared" si="0"/>
        <v>73283314.8434923</v>
      </c>
    </row>
    <row r="21" spans="2:8">
      <c r="B21" s="209">
        <v>13</v>
      </c>
      <c r="C21" s="209">
        <v>2037</v>
      </c>
      <c r="D21" s="341">
        <v>0</v>
      </c>
      <c r="E21" s="341">
        <f>+'IV2.3. CostosOPEX Alt2'!Y22</f>
        <v>230248318.856886</v>
      </c>
      <c r="F21" s="341">
        <f>+'IV2.2. Costos Alt2'!O22</f>
        <v>49394500</v>
      </c>
      <c r="G21" s="341">
        <f t="shared" si="1"/>
        <v>279642818.856886</v>
      </c>
      <c r="H21" s="341">
        <f t="shared" si="0"/>
        <v>81002563.6719988</v>
      </c>
    </row>
    <row r="22" spans="2:8">
      <c r="B22" s="209">
        <v>14</v>
      </c>
      <c r="C22" s="209">
        <v>2038</v>
      </c>
      <c r="D22" s="341">
        <v>0</v>
      </c>
      <c r="E22" s="341">
        <f>+'IV2.3. CostosOPEX Alt2'!Y23</f>
        <v>230483582.105084</v>
      </c>
      <c r="F22" s="341">
        <f>+'IV2.2. Costos Alt2'!O23</f>
        <v>0</v>
      </c>
      <c r="G22" s="341">
        <f t="shared" si="1"/>
        <v>230483582.105084</v>
      </c>
      <c r="H22" s="341">
        <f t="shared" si="0"/>
        <v>60693530.77269</v>
      </c>
    </row>
    <row r="23" spans="2:8">
      <c r="B23" s="209">
        <v>15</v>
      </c>
      <c r="C23" s="209">
        <v>2039</v>
      </c>
      <c r="D23" s="341">
        <v>0</v>
      </c>
      <c r="E23" s="341">
        <f>+'IV2.3. CostosOPEX Alt2'!Y24</f>
        <v>230700003.791213</v>
      </c>
      <c r="F23" s="341">
        <f>+'IV2.2. Costos Alt2'!O24</f>
        <v>0</v>
      </c>
      <c r="G23" s="341">
        <f t="shared" si="1"/>
        <v>230700003.791213</v>
      </c>
      <c r="H23" s="341">
        <f t="shared" si="0"/>
        <v>55227746.6970522</v>
      </c>
    </row>
    <row r="24" spans="2:8">
      <c r="B24" s="209">
        <v>16</v>
      </c>
      <c r="C24" s="209">
        <v>2040</v>
      </c>
      <c r="D24" s="341">
        <v>0</v>
      </c>
      <c r="E24" s="341">
        <f>+'IV2.3. CostosOPEX Alt2'!Y25</f>
        <v>230897379.753079</v>
      </c>
      <c r="F24" s="341">
        <f>+'IV2.2. Costos Alt2'!O25</f>
        <v>1750000</v>
      </c>
      <c r="G24" s="341">
        <f t="shared" si="1"/>
        <v>232647379.753079</v>
      </c>
      <c r="H24" s="341">
        <f t="shared" si="0"/>
        <v>50630848.1995051</v>
      </c>
    </row>
    <row r="25" spans="2:8">
      <c r="B25" s="209">
        <v>17</v>
      </c>
      <c r="C25" s="209">
        <v>2041</v>
      </c>
      <c r="D25" s="341">
        <v>0</v>
      </c>
      <c r="E25" s="341">
        <f>+'IV2.3. CostosOPEX Alt2'!Y26</f>
        <v>231075522.784794</v>
      </c>
      <c r="F25" s="341">
        <f>+'IV2.2. Costos Alt2'!O26</f>
        <v>227685146</v>
      </c>
      <c r="G25" s="341">
        <f t="shared" si="1"/>
        <v>458760668.784794</v>
      </c>
      <c r="H25" s="341">
        <f t="shared" si="0"/>
        <v>90763352.6201321</v>
      </c>
    </row>
    <row r="26" spans="2:8">
      <c r="B26" s="209">
        <v>18</v>
      </c>
      <c r="C26" s="209">
        <v>2042</v>
      </c>
      <c r="D26" s="341">
        <v>0</v>
      </c>
      <c r="E26" s="341">
        <f>+'IV2.3. CostosOPEX Alt2'!Y27</f>
        <v>231234262.9319</v>
      </c>
      <c r="F26" s="341">
        <f>+'IV2.2. Costos Alt2'!O27</f>
        <v>464823280</v>
      </c>
      <c r="G26" s="341">
        <f t="shared" si="1"/>
        <v>696057542.9319</v>
      </c>
      <c r="H26" s="341">
        <f t="shared" si="0"/>
        <v>125192067.378912</v>
      </c>
    </row>
    <row r="27" spans="2:8">
      <c r="B27" s="209">
        <v>19</v>
      </c>
      <c r="C27" s="209">
        <v>2043</v>
      </c>
      <c r="D27" s="341">
        <v>0</v>
      </c>
      <c r="E27" s="341">
        <f>+'IV2.3. CostosOPEX Alt2'!Y28</f>
        <v>231373447.760849</v>
      </c>
      <c r="F27" s="341">
        <f>+'IV2.2. Costos Alt2'!O28</f>
        <v>0</v>
      </c>
      <c r="G27" s="341">
        <f t="shared" si="1"/>
        <v>231373447.760849</v>
      </c>
      <c r="H27" s="341">
        <f t="shared" si="0"/>
        <v>37831407.57399</v>
      </c>
    </row>
    <row r="28" spans="2:8">
      <c r="B28" s="209">
        <v>20</v>
      </c>
      <c r="C28" s="209">
        <v>2044</v>
      </c>
      <c r="D28" s="341">
        <v>0</v>
      </c>
      <c r="E28" s="341">
        <f>+'IV2.3. CostosOPEX Alt2'!Y29</f>
        <v>231492942.602243</v>
      </c>
      <c r="F28" s="341">
        <f>+'IV2.2. Costos Alt2'!O29</f>
        <v>0</v>
      </c>
      <c r="G28" s="341">
        <f t="shared" si="1"/>
        <v>231492942.602243</v>
      </c>
      <c r="H28" s="341">
        <f t="shared" si="0"/>
        <v>34409950.8503821</v>
      </c>
    </row>
    <row r="29" spans="2:8">
      <c r="B29" s="209">
        <v>21</v>
      </c>
      <c r="C29" s="209">
        <v>2045</v>
      </c>
      <c r="D29" s="341">
        <v>0</v>
      </c>
      <c r="E29" s="341">
        <f>+'IV2.3. CostosOPEX Alt2'!Y30</f>
        <v>231592630.767277</v>
      </c>
      <c r="F29" s="341">
        <f>+'IV2.2. Costos Alt2'!O30</f>
        <v>0</v>
      </c>
      <c r="G29" s="341">
        <f t="shared" ref="G29:G47" si="2">+SUM(D29:F29)</f>
        <v>231592630.767277</v>
      </c>
      <c r="H29" s="341">
        <f t="shared" si="0"/>
        <v>31295244.4190035</v>
      </c>
    </row>
    <row r="30" spans="2:8">
      <c r="B30" s="209">
        <v>22</v>
      </c>
      <c r="C30" s="209">
        <v>2046</v>
      </c>
      <c r="D30" s="341">
        <v>0</v>
      </c>
      <c r="E30" s="341">
        <f>+'IV2.3. CostosOPEX Alt2'!Y31</f>
        <v>231672413.736927</v>
      </c>
      <c r="F30" s="341">
        <f>+'IV2.2. Costos Alt2'!O31</f>
        <v>188740447</v>
      </c>
      <c r="G30" s="341">
        <f t="shared" si="2"/>
        <v>420412860.736927</v>
      </c>
      <c r="H30" s="341">
        <f t="shared" si="0"/>
        <v>51646027.1801205</v>
      </c>
    </row>
    <row r="31" spans="2:8">
      <c r="B31" s="209">
        <v>23</v>
      </c>
      <c r="C31" s="209">
        <v>2047</v>
      </c>
      <c r="D31" s="341">
        <v>0</v>
      </c>
      <c r="E31" s="341">
        <f>+'IV2.3. CostosOPEX Alt2'!Y32</f>
        <v>231732211.32343</v>
      </c>
      <c r="F31" s="341">
        <f>+'IV2.2. Costos Alt2'!O32</f>
        <v>49394500</v>
      </c>
      <c r="G31" s="341">
        <f t="shared" si="2"/>
        <v>281126711.32343</v>
      </c>
      <c r="H31" s="341">
        <f t="shared" si="0"/>
        <v>31395713.2273559</v>
      </c>
    </row>
    <row r="32" spans="2:8">
      <c r="B32" s="209">
        <v>24</v>
      </c>
      <c r="C32" s="209">
        <v>2048</v>
      </c>
      <c r="D32" s="341">
        <v>0</v>
      </c>
      <c r="E32" s="341">
        <f>+'IV2.3. CostosOPEX Alt2'!Y33</f>
        <v>231771961.803696</v>
      </c>
      <c r="F32" s="341">
        <f>+'IV2.2. Costos Alt2'!O33</f>
        <v>1750000</v>
      </c>
      <c r="G32" s="341">
        <f t="shared" si="2"/>
        <v>233521961.803696</v>
      </c>
      <c r="H32" s="341">
        <f t="shared" si="0"/>
        <v>23708456.8170322</v>
      </c>
    </row>
    <row r="33" spans="2:8">
      <c r="B33" s="209">
        <v>25</v>
      </c>
      <c r="C33" s="209">
        <v>2049</v>
      </c>
      <c r="D33" s="341">
        <v>0</v>
      </c>
      <c r="E33" s="341">
        <f>+'IV2.3. CostosOPEX Alt2'!Y34</f>
        <v>231792615.478633</v>
      </c>
      <c r="F33" s="341">
        <f>+'IV2.2. Costos Alt2'!O34</f>
        <v>0</v>
      </c>
      <c r="G33" s="341">
        <f t="shared" si="2"/>
        <v>231792615.478633</v>
      </c>
      <c r="H33" s="341">
        <f t="shared" si="0"/>
        <v>21393530.8156728</v>
      </c>
    </row>
    <row r="34" spans="2:8">
      <c r="B34" s="209">
        <v>26</v>
      </c>
      <c r="C34" s="209">
        <v>2050</v>
      </c>
      <c r="D34" s="341">
        <v>0</v>
      </c>
      <c r="E34" s="341">
        <f>+'IV2.3. CostosOPEX Alt2'!Y35</f>
        <v>231813275.728503</v>
      </c>
      <c r="F34" s="341">
        <f>+'IV2.2. Costos Alt2'!O35</f>
        <v>14000000</v>
      </c>
      <c r="G34" s="341">
        <f t="shared" si="2"/>
        <v>245813275.728503</v>
      </c>
      <c r="H34" s="341">
        <f t="shared" si="0"/>
        <v>20625074.2259419</v>
      </c>
    </row>
    <row r="35" spans="2:8">
      <c r="B35" s="209">
        <v>27</v>
      </c>
      <c r="C35" s="209">
        <v>2051</v>
      </c>
      <c r="D35" s="341">
        <v>0</v>
      </c>
      <c r="E35" s="341">
        <f>+'IV2.3. CostosOPEX Alt2'!Y36</f>
        <v>231833942.555399</v>
      </c>
      <c r="F35" s="341">
        <f>+'IV2.2. Costos Alt2'!O36</f>
        <v>0</v>
      </c>
      <c r="G35" s="341">
        <f t="shared" si="2"/>
        <v>231833942.555399</v>
      </c>
      <c r="H35" s="341">
        <f t="shared" si="0"/>
        <v>17683756.3136155</v>
      </c>
    </row>
    <row r="36" spans="2:8">
      <c r="B36" s="209">
        <v>28</v>
      </c>
      <c r="C36" s="209">
        <v>2052</v>
      </c>
      <c r="D36" s="341">
        <v>0</v>
      </c>
      <c r="E36" s="341">
        <f>+'IV2.3. CostosOPEX Alt2'!Y37</f>
        <v>231854615.961416</v>
      </c>
      <c r="F36" s="341">
        <f>+'IV2.2. Costos Alt2'!O37</f>
        <v>1750000</v>
      </c>
      <c r="G36" s="341">
        <f t="shared" si="2"/>
        <v>233604615.961416</v>
      </c>
      <c r="H36" s="341">
        <f t="shared" si="0"/>
        <v>16198926.5281206</v>
      </c>
    </row>
    <row r="37" spans="2:8">
      <c r="B37" s="209">
        <v>29</v>
      </c>
      <c r="C37" s="209">
        <v>2053</v>
      </c>
      <c r="D37" s="341">
        <v>0</v>
      </c>
      <c r="E37" s="341">
        <f>+'IV2.3. CostosOPEX Alt2'!Y38</f>
        <v>231875295.948647</v>
      </c>
      <c r="F37" s="341">
        <f>+'IV2.2. Costos Alt2'!O38</f>
        <v>0</v>
      </c>
      <c r="G37" s="341">
        <f t="shared" si="2"/>
        <v>231875295.948647</v>
      </c>
      <c r="H37" s="341">
        <f t="shared" si="0"/>
        <v>14617281.5328068</v>
      </c>
    </row>
    <row r="38" spans="2:8">
      <c r="B38" s="209">
        <v>30</v>
      </c>
      <c r="C38" s="209">
        <v>2054</v>
      </c>
      <c r="D38" s="341">
        <v>0</v>
      </c>
      <c r="E38" s="341">
        <f>+'IV2.3. CostosOPEX Alt2'!Y39</f>
        <v>231895982.519187</v>
      </c>
      <c r="F38" s="341">
        <f>+'IV2.2. Costos Alt2'!O39</f>
        <v>163247831</v>
      </c>
      <c r="G38" s="341">
        <f t="shared" si="2"/>
        <v>395143813.519187</v>
      </c>
      <c r="H38" s="341">
        <f t="shared" si="0"/>
        <v>22645120.2986911</v>
      </c>
    </row>
    <row r="39" spans="2:8">
      <c r="B39" s="209">
        <v>31</v>
      </c>
      <c r="C39" s="209">
        <v>2055</v>
      </c>
      <c r="D39" s="341">
        <v>0</v>
      </c>
      <c r="E39" s="341">
        <f>+'IV2.3. CostosOPEX Alt2'!Y40</f>
        <v>231916675.675133</v>
      </c>
      <c r="F39" s="341">
        <f>+'IV2.2. Costos Alt2'!O40</f>
        <v>0</v>
      </c>
      <c r="G39" s="341">
        <f t="shared" si="2"/>
        <v>231916675.675133</v>
      </c>
      <c r="H39" s="341">
        <f t="shared" si="0"/>
        <v>12082553.7903255</v>
      </c>
    </row>
    <row r="40" spans="2:8">
      <c r="B40" s="209">
        <v>32</v>
      </c>
      <c r="C40" s="209">
        <v>2056</v>
      </c>
      <c r="D40" s="341">
        <v>0</v>
      </c>
      <c r="E40" s="341">
        <f>+'IV2.3. CostosOPEX Alt2'!Y41</f>
        <v>231937375.41858</v>
      </c>
      <c r="F40" s="341">
        <f>+'IV2.2. Costos Alt2'!O41</f>
        <v>1750000</v>
      </c>
      <c r="G40" s="341">
        <f t="shared" si="2"/>
        <v>233687375.41858</v>
      </c>
      <c r="H40" s="341">
        <f t="shared" si="0"/>
        <v>11068004.4710626</v>
      </c>
    </row>
    <row r="41" spans="2:8">
      <c r="B41" s="209">
        <v>33</v>
      </c>
      <c r="C41" s="209">
        <v>2057</v>
      </c>
      <c r="D41" s="341">
        <v>0</v>
      </c>
      <c r="E41" s="341">
        <f>+'IV2.3. CostosOPEX Alt2'!Y42</f>
        <v>231958081.751627</v>
      </c>
      <c r="F41" s="341">
        <f>+'IV2.2. Costos Alt2'!O42</f>
        <v>49394500</v>
      </c>
      <c r="G41" s="341">
        <f t="shared" si="2"/>
        <v>281352581.751627</v>
      </c>
      <c r="H41" s="341">
        <f t="shared" si="0"/>
        <v>12114131.8014533</v>
      </c>
    </row>
    <row r="42" spans="2:8">
      <c r="B42" s="209">
        <v>34</v>
      </c>
      <c r="C42" s="209">
        <v>2058</v>
      </c>
      <c r="D42" s="341">
        <v>0</v>
      </c>
      <c r="E42" s="341">
        <f>+'IV2.3. CostosOPEX Alt2'!Y43</f>
        <v>231978794.676369</v>
      </c>
      <c r="F42" s="341">
        <f>+'IV2.2. Costos Alt2'!O43</f>
        <v>463073280</v>
      </c>
      <c r="G42" s="341">
        <f t="shared" si="2"/>
        <v>695052074.676369</v>
      </c>
      <c r="H42" s="341">
        <f t="shared" si="0"/>
        <v>27206084.8771792</v>
      </c>
    </row>
    <row r="43" spans="2:8">
      <c r="B43" s="209">
        <v>35</v>
      </c>
      <c r="C43" s="209">
        <v>2059</v>
      </c>
      <c r="D43" s="341">
        <v>0</v>
      </c>
      <c r="E43" s="341">
        <f>+'IV2.3. CostosOPEX Alt2'!Y44</f>
        <v>231999514.194907</v>
      </c>
      <c r="F43" s="341">
        <f>+'IV2.2. Costos Alt2'!O44</f>
        <v>0</v>
      </c>
      <c r="G43" s="341">
        <f t="shared" si="2"/>
        <v>231999514.194907</v>
      </c>
      <c r="H43" s="341">
        <f t="shared" si="0"/>
        <v>8255494.54836287</v>
      </c>
    </row>
    <row r="44" spans="2:8">
      <c r="B44" s="209">
        <v>36</v>
      </c>
      <c r="C44" s="209">
        <v>2060</v>
      </c>
      <c r="D44" s="341">
        <v>0</v>
      </c>
      <c r="E44" s="341">
        <f>+'IV2.3. CostosOPEX Alt2'!Y45</f>
        <v>232020240.309338</v>
      </c>
      <c r="F44" s="341">
        <f>+'IV2.2. Costos Alt2'!O45</f>
        <v>0</v>
      </c>
      <c r="G44" s="341">
        <f t="shared" si="2"/>
        <v>232020240.309338</v>
      </c>
      <c r="H44" s="341">
        <f t="shared" si="0"/>
        <v>7505665.51686197</v>
      </c>
    </row>
    <row r="45" spans="2:8">
      <c r="B45" s="209">
        <v>37</v>
      </c>
      <c r="C45" s="209">
        <v>2061</v>
      </c>
      <c r="D45" s="341">
        <v>0</v>
      </c>
      <c r="E45" s="341">
        <f>+'IV2.3. CostosOPEX Alt2'!Y46</f>
        <v>232040973.021764</v>
      </c>
      <c r="F45" s="341">
        <f>+'IV2.2. Costos Alt2'!O46</f>
        <v>0</v>
      </c>
      <c r="G45" s="341">
        <f t="shared" si="2"/>
        <v>232040973.021764</v>
      </c>
      <c r="H45" s="341">
        <f t="shared" si="0"/>
        <v>6823942.00290674</v>
      </c>
    </row>
    <row r="46" spans="2:8">
      <c r="B46" s="209">
        <v>38</v>
      </c>
      <c r="C46" s="209">
        <v>2062</v>
      </c>
      <c r="D46" s="341">
        <v>0</v>
      </c>
      <c r="E46" s="341">
        <f>+'IV2.3. CostosOPEX Alt2'!Y47</f>
        <v>232061712.334283</v>
      </c>
      <c r="F46" s="341">
        <f>+'IV2.2. Costos Alt2'!O47</f>
        <v>1750000</v>
      </c>
      <c r="G46" s="341">
        <f t="shared" si="2"/>
        <v>233811712.334283</v>
      </c>
      <c r="H46" s="341">
        <f t="shared" si="0"/>
        <v>6250924.11204862</v>
      </c>
    </row>
    <row r="47" spans="2:8">
      <c r="B47" s="209">
        <v>39</v>
      </c>
      <c r="C47" s="209">
        <v>2063</v>
      </c>
      <c r="D47" s="341">
        <v>0</v>
      </c>
      <c r="E47" s="341">
        <f>+'IV2.3. CostosOPEX Alt2'!Y48</f>
        <v>232082458.248998</v>
      </c>
      <c r="F47" s="341">
        <v>0</v>
      </c>
      <c r="G47" s="341">
        <f t="shared" si="2"/>
        <v>232082458.248998</v>
      </c>
      <c r="H47" s="341">
        <f t="shared" si="0"/>
        <v>5640629.7644322</v>
      </c>
    </row>
    <row r="48" spans="2:8">
      <c r="B48" s="235" t="s">
        <v>485</v>
      </c>
      <c r="C48" s="235"/>
      <c r="D48" s="741">
        <v>0.1</v>
      </c>
      <c r="G48" s="235" t="s">
        <v>486</v>
      </c>
      <c r="H48" s="742">
        <f>SUM(H8:H47)</f>
        <v>3988427304.19476</v>
      </c>
    </row>
    <row r="49" spans="2:8">
      <c r="B49" s="181" t="s">
        <v>487</v>
      </c>
      <c r="C49" s="181"/>
      <c r="D49" s="180">
        <v>38</v>
      </c>
      <c r="G49" s="181" t="s">
        <v>488</v>
      </c>
      <c r="H49" s="743">
        <f>+PMT(D48,D49,H48)*-1</f>
        <v>409798640.96967</v>
      </c>
    </row>
  </sheetData>
  <mergeCells count="5">
    <mergeCell ref="B2:Q2"/>
    <mergeCell ref="B4:Q4"/>
    <mergeCell ref="B7:C7"/>
    <mergeCell ref="B48:C48"/>
    <mergeCell ref="B49:C49"/>
  </mergeCells>
  <pageMargins left="0.7" right="0.7" top="0.75" bottom="0.75" header="0.3" footer="0.3"/>
  <pageSetup paperSize="9" scale="6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BC2E6"/>
  </sheetPr>
  <dimension ref="B2:Q124"/>
  <sheetViews>
    <sheetView topLeftCell="B1" workbookViewId="0">
      <selection activeCell="B21" sqref="B21"/>
    </sheetView>
  </sheetViews>
  <sheetFormatPr defaultColWidth="10.6666666666667" defaultRowHeight="15"/>
  <cols>
    <col min="1" max="1" width="3.33333333333333" customWidth="1"/>
    <col min="2" max="2" width="34" customWidth="1"/>
    <col min="3" max="3" width="14.3333333333333" customWidth="1"/>
    <col min="4" max="4" width="14.552380952381" customWidth="1"/>
    <col min="5" max="6" width="16.3333333333333" customWidth="1"/>
    <col min="8" max="8" width="6.43809523809524" customWidth="1"/>
    <col min="9" max="9" width="12.3333333333333" customWidth="1"/>
    <col min="10" max="10" width="15.3333333333333" customWidth="1"/>
    <col min="11" max="16" width="15.6666666666667" customWidth="1"/>
  </cols>
  <sheetData>
    <row r="2" ht="21" customHeight="1" spans="2:17">
      <c r="B2" s="2" t="s">
        <v>0</v>
      </c>
      <c r="C2" s="2"/>
      <c r="D2" s="2"/>
      <c r="E2" s="2"/>
      <c r="F2" s="2"/>
      <c r="G2" s="2"/>
      <c r="H2" s="2"/>
      <c r="I2" s="2"/>
      <c r="J2" s="2"/>
      <c r="K2" s="2"/>
      <c r="L2" s="2"/>
      <c r="M2" s="2"/>
      <c r="N2" s="2"/>
      <c r="O2" s="2"/>
      <c r="P2" s="2"/>
      <c r="Q2" s="2"/>
    </row>
    <row r="4" ht="15.75" spans="2:17">
      <c r="B4" s="688" t="s">
        <v>490</v>
      </c>
      <c r="C4" s="688"/>
      <c r="D4" s="688"/>
      <c r="E4" s="688"/>
      <c r="F4" s="688"/>
      <c r="G4" s="688"/>
      <c r="H4" s="688"/>
      <c r="I4" s="688"/>
      <c r="J4" s="688"/>
      <c r="K4" s="688"/>
      <c r="L4" s="688"/>
      <c r="M4" s="688"/>
      <c r="N4" s="688"/>
      <c r="O4" s="688"/>
      <c r="P4" s="688"/>
      <c r="Q4" s="688"/>
    </row>
    <row r="7" spans="2:8">
      <c r="B7" t="s">
        <v>491</v>
      </c>
      <c r="H7" t="s">
        <v>492</v>
      </c>
    </row>
    <row r="8" s="687" customFormat="1" ht="30" spans="2:16">
      <c r="B8" s="689" t="s">
        <v>10</v>
      </c>
      <c r="C8" s="690" t="s">
        <v>11</v>
      </c>
      <c r="D8" s="690" t="s">
        <v>12</v>
      </c>
      <c r="E8" s="690" t="s">
        <v>493</v>
      </c>
      <c r="F8" s="690" t="s">
        <v>494</v>
      </c>
      <c r="H8" s="598" t="s">
        <v>200</v>
      </c>
      <c r="I8" s="598" t="s">
        <v>495</v>
      </c>
      <c r="J8" s="598" t="s">
        <v>496</v>
      </c>
      <c r="K8" s="598" t="s">
        <v>497</v>
      </c>
      <c r="L8" s="598" t="s">
        <v>498</v>
      </c>
      <c r="M8" s="598" t="s">
        <v>499</v>
      </c>
      <c r="N8" s="598" t="s">
        <v>500</v>
      </c>
      <c r="O8" s="598" t="s">
        <v>170</v>
      </c>
      <c r="P8" s="722"/>
    </row>
    <row r="9" spans="2:16">
      <c r="B9" s="195" t="s">
        <v>501</v>
      </c>
      <c r="C9" s="209" t="s">
        <v>502</v>
      </c>
      <c r="D9" s="209">
        <v>1</v>
      </c>
      <c r="E9" s="691">
        <v>90252378</v>
      </c>
      <c r="F9" s="691">
        <f>+E9*D9</f>
        <v>90252378</v>
      </c>
      <c r="H9" s="692">
        <v>2024</v>
      </c>
      <c r="I9" s="723">
        <f>+'VII. Costos de Inversión'!G103</f>
        <v>56678528</v>
      </c>
      <c r="J9" s="723">
        <v>0</v>
      </c>
      <c r="K9" s="723">
        <f>+'IX. Costos MantenimientoMayor'!E8</f>
        <v>0</v>
      </c>
      <c r="L9" s="723">
        <f>+SUM('VII.1 Calendario'!C12:N12)</f>
        <v>94255361.7773125</v>
      </c>
      <c r="M9" s="723">
        <f>+SUM('VII.1 Calendario'!C13:Y13)</f>
        <v>55336833.3333333</v>
      </c>
      <c r="N9" s="723">
        <v>0</v>
      </c>
      <c r="O9" s="723">
        <f>+SUM(I9:N9)</f>
        <v>206270723.110646</v>
      </c>
      <c r="P9" s="606"/>
    </row>
    <row r="10" spans="2:16">
      <c r="B10" s="195" t="s">
        <v>503</v>
      </c>
      <c r="C10" s="209" t="s">
        <v>502</v>
      </c>
      <c r="D10" s="209">
        <v>1</v>
      </c>
      <c r="E10" s="691">
        <f>+SUM(E11:E14)</f>
        <v>449073280</v>
      </c>
      <c r="F10" s="691">
        <f>+E10*D10</f>
        <v>449073280</v>
      </c>
      <c r="H10" s="693">
        <v>2025</v>
      </c>
      <c r="I10" s="724">
        <v>0</v>
      </c>
      <c r="J10" s="723">
        <f>+SUM('VII.1 Calendario'!S10:Z10)</f>
        <v>146604579.97953</v>
      </c>
      <c r="K10" s="723">
        <f>+SUM('VII.1 Calendario'!I11:Q11)</f>
        <v>434387176.425875</v>
      </c>
      <c r="L10" s="723">
        <f>+SUM('VII.1 Calendario'!O12:S12)</f>
        <v>149409518.412187</v>
      </c>
      <c r="M10" s="723">
        <f>+SUM('VII.1 Calendario'!Q13:AA13)</f>
        <v>92484000</v>
      </c>
      <c r="N10" s="723">
        <f>+$F$19/2</f>
        <v>330545161</v>
      </c>
      <c r="O10" s="723">
        <f t="shared" ref="O10:O47" si="0">+SUM(J10:N10)</f>
        <v>1153430435.81759</v>
      </c>
      <c r="P10" s="606"/>
    </row>
    <row r="11" spans="2:16">
      <c r="B11" s="694" t="s">
        <v>504</v>
      </c>
      <c r="C11" s="695" t="s">
        <v>502</v>
      </c>
      <c r="D11" s="695">
        <v>1</v>
      </c>
      <c r="E11" s="696">
        <v>315308350</v>
      </c>
      <c r="F11" s="697">
        <f>+D11*E11</f>
        <v>315308350</v>
      </c>
      <c r="H11" s="693">
        <v>2026</v>
      </c>
      <c r="I11" s="724">
        <v>0</v>
      </c>
      <c r="J11" s="723">
        <f>+'VII.1 Calendario'!AA10</f>
        <v>21980008.7284698</v>
      </c>
      <c r="K11" s="723">
        <f>+SUM('VII.1 Calendario'!U11:W11)</f>
        <v>57002482.677375</v>
      </c>
      <c r="L11" s="723">
        <f>+'IX. Costos MantenimientoMayor'!F10</f>
        <v>0</v>
      </c>
      <c r="M11" s="723">
        <f>+'IX. Costos MantenimientoMayor'!G10</f>
        <v>0</v>
      </c>
      <c r="N11" s="723">
        <f>+$F$19/2</f>
        <v>330545161</v>
      </c>
      <c r="O11" s="723">
        <f t="shared" si="0"/>
        <v>409527652.405845</v>
      </c>
      <c r="P11" s="606"/>
    </row>
    <row r="12" ht="30" spans="2:16">
      <c r="B12" s="694" t="s">
        <v>505</v>
      </c>
      <c r="C12" s="698" t="s">
        <v>502</v>
      </c>
      <c r="D12" s="698">
        <v>1</v>
      </c>
      <c r="E12" s="699">
        <v>70480690</v>
      </c>
      <c r="F12" s="700">
        <f>+D12*E12</f>
        <v>70480690</v>
      </c>
      <c r="H12" s="693">
        <v>2027</v>
      </c>
      <c r="I12" s="693"/>
      <c r="J12" s="723" t="str">
        <f>+'IX. Costos MantenimientoMayor'!D11</f>
        <v>                             -  </v>
      </c>
      <c r="K12" s="723" t="str">
        <f>+'IX. Costos MantenimientoMayor'!E11</f>
        <v>                             -  </v>
      </c>
      <c r="L12" s="723" t="str">
        <f>+'IX. Costos MantenimientoMayor'!F11</f>
        <v>                             -  </v>
      </c>
      <c r="M12" s="723" t="str">
        <f>+'IX. Costos MantenimientoMayor'!G11</f>
        <v>                             -  </v>
      </c>
      <c r="N12" s="723">
        <f>+'[2]V1. Costos de Inversión'!P11</f>
        <v>0</v>
      </c>
      <c r="O12" s="723">
        <f t="shared" si="0"/>
        <v>0</v>
      </c>
      <c r="P12" s="606"/>
    </row>
    <row r="13" spans="2:16">
      <c r="B13" s="694" t="s">
        <v>506</v>
      </c>
      <c r="C13" s="695" t="s">
        <v>502</v>
      </c>
      <c r="D13" s="695">
        <v>1</v>
      </c>
      <c r="E13" s="699">
        <v>41453774</v>
      </c>
      <c r="F13" s="700">
        <f>+D13*E13</f>
        <v>41453774</v>
      </c>
      <c r="H13" s="693">
        <v>2028</v>
      </c>
      <c r="I13" s="693"/>
      <c r="J13" s="723" t="str">
        <f>+'IX. Costos MantenimientoMayor'!D12</f>
        <v>                             -  </v>
      </c>
      <c r="K13" s="723" t="str">
        <f>+'IX. Costos MantenimientoMayor'!E12</f>
        <v>                             -  </v>
      </c>
      <c r="L13" s="723" t="str">
        <f>+'IX. Costos MantenimientoMayor'!F12</f>
        <v>                             -  </v>
      </c>
      <c r="M13" s="723" t="str">
        <f>+'IX. Costos MantenimientoMayor'!G12</f>
        <v>                             -  </v>
      </c>
      <c r="N13" s="723">
        <f>+'[2]V1. Costos de Inversión'!P12</f>
        <v>0</v>
      </c>
      <c r="O13" s="723">
        <f t="shared" si="0"/>
        <v>0</v>
      </c>
      <c r="P13" s="606"/>
    </row>
    <row r="14" spans="2:16">
      <c r="B14" s="694" t="s">
        <v>115</v>
      </c>
      <c r="C14" s="695" t="s">
        <v>502</v>
      </c>
      <c r="D14" s="695">
        <v>1</v>
      </c>
      <c r="E14" s="699">
        <v>21830466</v>
      </c>
      <c r="F14" s="700">
        <f>+D14*E14</f>
        <v>21830466</v>
      </c>
      <c r="H14" s="693">
        <v>2029</v>
      </c>
      <c r="I14" s="693"/>
      <c r="J14" s="723" t="str">
        <f>+'IX. Costos MantenimientoMayor'!D13</f>
        <v>                             -  </v>
      </c>
      <c r="K14" s="723" t="str">
        <f>+'IX. Costos MantenimientoMayor'!E13</f>
        <v>                             -  </v>
      </c>
      <c r="L14" s="723" t="str">
        <f>+'IX. Costos MantenimientoMayor'!F13</f>
        <v>                             -  </v>
      </c>
      <c r="M14" s="723" t="str">
        <f>+'IX. Costos MantenimientoMayor'!G13</f>
        <v>                             -  </v>
      </c>
      <c r="N14" s="723">
        <f>+'[2]V1. Costos de Inversión'!P13</f>
        <v>0</v>
      </c>
      <c r="O14" s="723">
        <f t="shared" si="0"/>
        <v>0</v>
      </c>
      <c r="P14" s="606"/>
    </row>
    <row r="15" spans="2:16">
      <c r="B15" s="701" t="s">
        <v>507</v>
      </c>
      <c r="C15" s="209" t="s">
        <v>502</v>
      </c>
      <c r="D15" s="209">
        <v>1</v>
      </c>
      <c r="E15" s="691">
        <v>115180285</v>
      </c>
      <c r="F15" s="691">
        <f>+E15*D15</f>
        <v>115180285</v>
      </c>
      <c r="H15" s="693">
        <v>2030</v>
      </c>
      <c r="I15" s="693"/>
      <c r="J15" s="723">
        <f>+'IX. Costos MantenimientoMayor'!D14</f>
        <v>0</v>
      </c>
      <c r="K15" s="723" t="str">
        <f>+'IX. Costos MantenimientoMayor'!E14</f>
        <v>                             -  </v>
      </c>
      <c r="L15" s="723" t="str">
        <f>+'IX. Costos MantenimientoMayor'!F14</f>
        <v>                             -  </v>
      </c>
      <c r="M15" s="723" t="str">
        <f>+'IX. Costos MantenimientoMayor'!G14</f>
        <v>                             -  </v>
      </c>
      <c r="N15" s="723">
        <v>0</v>
      </c>
      <c r="O15" s="723">
        <f t="shared" si="0"/>
        <v>0</v>
      </c>
      <c r="P15" s="606"/>
    </row>
    <row r="16" spans="2:16">
      <c r="B16" s="701" t="s">
        <v>508</v>
      </c>
      <c r="C16" s="209" t="s">
        <v>502</v>
      </c>
      <c r="D16" s="209">
        <v>1</v>
      </c>
      <c r="E16" s="691">
        <v>2782132</v>
      </c>
      <c r="F16" s="691">
        <f>+E16*D16</f>
        <v>2782132</v>
      </c>
      <c r="H16" s="693">
        <v>2031</v>
      </c>
      <c r="I16" s="693"/>
      <c r="J16" s="723">
        <f>+'IX. Costos MantenimientoMayor'!D15</f>
        <v>0</v>
      </c>
      <c r="K16" s="723">
        <f>+'IX. Costos MantenimientoMayor'!E15</f>
        <v>0</v>
      </c>
      <c r="L16" s="723" t="str">
        <f>+'IX. Costos MantenimientoMayor'!F15</f>
        <v>                             -  </v>
      </c>
      <c r="M16" s="723" t="str">
        <f>+'IX. Costos MantenimientoMayor'!G15</f>
        <v>                             -  </v>
      </c>
      <c r="N16" s="723">
        <v>0</v>
      </c>
      <c r="O16" s="723">
        <f t="shared" si="0"/>
        <v>0</v>
      </c>
      <c r="P16" s="606"/>
    </row>
    <row r="17" spans="2:16">
      <c r="B17" s="701" t="s">
        <v>509</v>
      </c>
      <c r="C17" s="209" t="s">
        <v>502</v>
      </c>
      <c r="D17" s="209">
        <v>1</v>
      </c>
      <c r="E17" s="691">
        <v>3338559</v>
      </c>
      <c r="F17" s="691">
        <f>+E17*D17</f>
        <v>3338559</v>
      </c>
      <c r="H17" s="693">
        <v>2032</v>
      </c>
      <c r="I17" s="693"/>
      <c r="J17" s="723">
        <f>+'IX. Costos MantenimientoMayor'!D16</f>
        <v>1750000</v>
      </c>
      <c r="K17" s="723">
        <f>+'IX. Costos MantenimientoMayor'!E16</f>
        <v>0</v>
      </c>
      <c r="L17" s="723">
        <f>+'IX. Costos MantenimientoMayor'!F16</f>
        <v>0</v>
      </c>
      <c r="M17" s="723" t="str">
        <f>+'IX. Costos MantenimientoMayor'!G16</f>
        <v>                             -  </v>
      </c>
      <c r="N17" s="723">
        <v>0</v>
      </c>
      <c r="O17" s="723">
        <f t="shared" si="0"/>
        <v>1750000</v>
      </c>
      <c r="P17" s="606"/>
    </row>
    <row r="18" spans="2:16">
      <c r="B18" s="701" t="s">
        <v>510</v>
      </c>
      <c r="C18" s="209" t="s">
        <v>502</v>
      </c>
      <c r="D18" s="209">
        <v>1</v>
      </c>
      <c r="E18" s="691">
        <v>463688</v>
      </c>
      <c r="F18" s="691">
        <f>+E18*D18</f>
        <v>463688</v>
      </c>
      <c r="H18" s="693">
        <v>2033</v>
      </c>
      <c r="I18" s="693"/>
      <c r="J18" s="723" t="str">
        <f>+'IX. Costos MantenimientoMayor'!D17</f>
        <v>                             -  </v>
      </c>
      <c r="K18" s="723">
        <f>+'IX. Costos MantenimientoMayor'!E17</f>
        <v>32378260</v>
      </c>
      <c r="L18" s="723" t="str">
        <f>+'IX. Costos MantenimientoMayor'!F17</f>
        <v>                             -  </v>
      </c>
      <c r="M18" s="723" t="str">
        <f>+'IX. Costos MantenimientoMayor'!G17</f>
        <v>                             -  </v>
      </c>
      <c r="N18" s="723">
        <v>0</v>
      </c>
      <c r="O18" s="723">
        <f t="shared" si="0"/>
        <v>32378260</v>
      </c>
      <c r="P18" s="606"/>
    </row>
    <row r="19" spans="2:16">
      <c r="B19" s="702" t="s">
        <v>170</v>
      </c>
      <c r="C19" s="703"/>
      <c r="D19" s="704"/>
      <c r="E19" s="705">
        <f>+SUM(E15:E18,E9:E10)</f>
        <v>661090322</v>
      </c>
      <c r="F19" s="705">
        <f>+SUM(F15:F18,F9:F10)</f>
        <v>661090322</v>
      </c>
      <c r="G19" s="605"/>
      <c r="H19" s="693">
        <v>2034</v>
      </c>
      <c r="I19" s="693"/>
      <c r="J19" s="723">
        <f>+'IX. Costos MantenimientoMayor'!D18</f>
        <v>14000000</v>
      </c>
      <c r="K19" s="723" t="str">
        <f>+'IX. Costos MantenimientoMayor'!E18</f>
        <v>                             -  </v>
      </c>
      <c r="L19" s="723">
        <f>+'IX. Costos MantenimientoMayor'!F18</f>
        <v>111491485</v>
      </c>
      <c r="M19" s="723" t="str">
        <f>+'IX. Costos MantenimientoMayor'!G18</f>
        <v>                             -  </v>
      </c>
      <c r="N19" s="723">
        <v>0</v>
      </c>
      <c r="O19" s="723">
        <f t="shared" si="0"/>
        <v>125491485</v>
      </c>
      <c r="P19" s="606"/>
    </row>
    <row r="20" spans="2:16">
      <c r="B20" s="183" t="s">
        <v>511</v>
      </c>
      <c r="H20" s="693">
        <v>2035</v>
      </c>
      <c r="I20" s="693"/>
      <c r="J20" s="723" t="str">
        <f>+'IX. Costos MantenimientoMayor'!D19</f>
        <v>                             -  </v>
      </c>
      <c r="K20" s="723" t="str">
        <f>+'IX. Costos MantenimientoMayor'!E19</f>
        <v>                             -  </v>
      </c>
      <c r="L20" s="723" t="str">
        <f>+'IX. Costos MantenimientoMayor'!F19</f>
        <v>                             -  </v>
      </c>
      <c r="M20" s="723" t="str">
        <f>+'IX. Costos MantenimientoMayor'!G19</f>
        <v>                             -  </v>
      </c>
      <c r="N20" s="723">
        <v>0</v>
      </c>
      <c r="O20" s="723">
        <f t="shared" si="0"/>
        <v>0</v>
      </c>
      <c r="P20" s="606"/>
    </row>
    <row r="21" spans="8:16">
      <c r="H21" s="693">
        <v>2036</v>
      </c>
      <c r="I21" s="693"/>
      <c r="J21" s="723" t="str">
        <f>+'IX. Costos MantenimientoMayor'!D20</f>
        <v>                             -  </v>
      </c>
      <c r="K21" s="723" t="str">
        <f>+'IX. Costos MantenimientoMayor'!E20</f>
        <v>                             -  </v>
      </c>
      <c r="L21" s="723" t="str">
        <f>+'IX. Costos MantenimientoMayor'!F20</f>
        <v>                             -  </v>
      </c>
      <c r="M21" s="723" t="str">
        <f>+'IX. Costos MantenimientoMayor'!G20</f>
        <v>                             -  </v>
      </c>
      <c r="N21" s="723">
        <v>0</v>
      </c>
      <c r="O21" s="723">
        <f t="shared" si="0"/>
        <v>0</v>
      </c>
      <c r="P21" s="606"/>
    </row>
    <row r="22" spans="8:16">
      <c r="H22" s="693">
        <v>2037</v>
      </c>
      <c r="I22" s="693"/>
      <c r="J22" s="723">
        <f>+'IX. Costos MantenimientoMayor'!D21</f>
        <v>49394500</v>
      </c>
      <c r="K22" s="723" t="str">
        <f>+'IX. Costos MantenimientoMayor'!E21</f>
        <v>                             -  </v>
      </c>
      <c r="L22" s="723" t="str">
        <f>+'IX. Costos MantenimientoMayor'!F21</f>
        <v>                             -  </v>
      </c>
      <c r="M22" s="723" t="str">
        <f>+'IX. Costos MantenimientoMayor'!G21</f>
        <v>                             -  </v>
      </c>
      <c r="N22" s="723">
        <v>0</v>
      </c>
      <c r="O22" s="723">
        <f t="shared" si="0"/>
        <v>49394500</v>
      </c>
      <c r="P22" s="606"/>
    </row>
    <row r="23" spans="8:16">
      <c r="H23" s="693">
        <v>2038</v>
      </c>
      <c r="I23" s="693"/>
      <c r="J23" s="723" t="str">
        <f>+'IX. Costos MantenimientoMayor'!D22</f>
        <v>                             -  </v>
      </c>
      <c r="K23" s="723" t="str">
        <f>+'IX. Costos MantenimientoMayor'!E22</f>
        <v>                             -  </v>
      </c>
      <c r="L23" s="723" t="str">
        <f>+'IX. Costos MantenimientoMayor'!F22</f>
        <v>                             -  </v>
      </c>
      <c r="M23" s="723" t="str">
        <f>+'IX. Costos MantenimientoMayor'!G22</f>
        <v>                             -  </v>
      </c>
      <c r="N23" s="723">
        <v>0</v>
      </c>
      <c r="O23" s="723">
        <f t="shared" si="0"/>
        <v>0</v>
      </c>
      <c r="P23" s="606"/>
    </row>
    <row r="24" spans="2:16">
      <c r="B24" s="183"/>
      <c r="C24" s="706"/>
      <c r="D24" s="706"/>
      <c r="E24" s="707"/>
      <c r="F24" s="707"/>
      <c r="H24" s="693">
        <v>2039</v>
      </c>
      <c r="I24" s="693"/>
      <c r="J24" s="723" t="str">
        <f>+'IX. Costos MantenimientoMayor'!D23</f>
        <v>                             -  </v>
      </c>
      <c r="K24" s="723" t="str">
        <f>+'IX. Costos MantenimientoMayor'!E23</f>
        <v>                             -  </v>
      </c>
      <c r="L24" s="723" t="str">
        <f>+'IX. Costos MantenimientoMayor'!F23</f>
        <v>                             -  </v>
      </c>
      <c r="M24" s="723" t="str">
        <f>+'IX. Costos MantenimientoMayor'!G23</f>
        <v>                             -  </v>
      </c>
      <c r="N24" s="723">
        <v>0</v>
      </c>
      <c r="O24" s="723">
        <f t="shared" si="0"/>
        <v>0</v>
      </c>
      <c r="P24" s="606"/>
    </row>
    <row r="25" spans="2:16">
      <c r="B25" s="708"/>
      <c r="C25" s="706"/>
      <c r="D25" s="706"/>
      <c r="E25" s="707"/>
      <c r="F25" s="707"/>
      <c r="H25" s="693">
        <v>2040</v>
      </c>
      <c r="I25" s="693"/>
      <c r="J25" s="723" t="str">
        <f>+'IX. Costos MantenimientoMayor'!D24</f>
        <v>                             -  </v>
      </c>
      <c r="K25" s="723">
        <f>+'IX. Costos MantenimientoMayor'!E24</f>
        <v>1750000</v>
      </c>
      <c r="L25" s="723" t="str">
        <f>+'IX. Costos MantenimientoMayor'!F24</f>
        <v>                             -  </v>
      </c>
      <c r="M25" s="723" t="str">
        <f>+'IX. Costos MantenimientoMayor'!G24</f>
        <v>                             -  </v>
      </c>
      <c r="N25" s="725">
        <v>0</v>
      </c>
      <c r="O25" s="723">
        <f t="shared" si="0"/>
        <v>1750000</v>
      </c>
      <c r="P25" s="606"/>
    </row>
    <row r="26" spans="2:16">
      <c r="B26" s="708"/>
      <c r="C26" s="706"/>
      <c r="D26" s="706"/>
      <c r="E26" s="707"/>
      <c r="F26" s="707"/>
      <c r="H26" s="693">
        <v>2041</v>
      </c>
      <c r="I26" s="693"/>
      <c r="J26" s="723" t="str">
        <f>+'IX. Costos MantenimientoMayor'!D25</f>
        <v>                             -  </v>
      </c>
      <c r="K26" s="723" t="str">
        <f>+'IX. Costos MantenimientoMayor'!E25</f>
        <v>                             -  </v>
      </c>
      <c r="L26" s="723">
        <f>+'IX. Costos MantenimientoMayor'!F25</f>
        <v>227685146</v>
      </c>
      <c r="M26" s="723" t="str">
        <f>+'IX. Costos MantenimientoMayor'!G25</f>
        <v>                             -  </v>
      </c>
      <c r="N26" s="723">
        <v>0</v>
      </c>
      <c r="O26" s="723">
        <f t="shared" si="0"/>
        <v>227685146</v>
      </c>
      <c r="P26" s="606"/>
    </row>
    <row r="27" spans="3:16">
      <c r="C27" s="706"/>
      <c r="D27" s="706"/>
      <c r="E27" s="707"/>
      <c r="F27" s="707"/>
      <c r="H27" s="693">
        <v>2042</v>
      </c>
      <c r="I27" s="693"/>
      <c r="J27" s="723">
        <f>+'IX. Costos MantenimientoMayor'!D26</f>
        <v>15750000</v>
      </c>
      <c r="K27" s="723" t="str">
        <f>+'IX. Costos MantenimientoMayor'!E26</f>
        <v>                             -  </v>
      </c>
      <c r="L27" s="723" t="str">
        <f>+'IX. Costos MantenimientoMayor'!F26</f>
        <v>                             -  </v>
      </c>
      <c r="M27" s="723" t="str">
        <f>+'IX. Costos MantenimientoMayor'!G26</f>
        <v>                             -  </v>
      </c>
      <c r="N27" s="723">
        <f>+$F$10</f>
        <v>449073280</v>
      </c>
      <c r="O27" s="723">
        <f t="shared" si="0"/>
        <v>464823280</v>
      </c>
      <c r="P27" s="606"/>
    </row>
    <row r="28" spans="2:16">
      <c r="B28" s="183"/>
      <c r="C28" s="706"/>
      <c r="D28" s="706"/>
      <c r="E28" s="707"/>
      <c r="F28" s="707"/>
      <c r="H28" s="693">
        <v>2043</v>
      </c>
      <c r="I28" s="693"/>
      <c r="J28" s="723" t="str">
        <f>+'IX. Costos MantenimientoMayor'!D27</f>
        <v>                             -  </v>
      </c>
      <c r="K28" s="723" t="str">
        <f>+'IX. Costos MantenimientoMayor'!E27</f>
        <v>                             -  </v>
      </c>
      <c r="L28" s="723" t="str">
        <f>+'IX. Costos MantenimientoMayor'!F27</f>
        <v>                             -  </v>
      </c>
      <c r="M28" s="723" t="str">
        <f>+'IX. Costos MantenimientoMayor'!G27</f>
        <v>                             -  </v>
      </c>
      <c r="N28" s="723">
        <v>0</v>
      </c>
      <c r="O28" s="723">
        <f t="shared" si="0"/>
        <v>0</v>
      </c>
      <c r="P28" s="606"/>
    </row>
    <row r="29" spans="8:16">
      <c r="H29" s="693">
        <v>2044</v>
      </c>
      <c r="I29" s="693"/>
      <c r="J29" s="723" t="str">
        <f>+'IX. Costos MantenimientoMayor'!D28</f>
        <v>                             -  </v>
      </c>
      <c r="K29" s="723" t="str">
        <f>+'IX. Costos MantenimientoMayor'!E28</f>
        <v>                             -  </v>
      </c>
      <c r="L29" s="723" t="str">
        <f>+'IX. Costos MantenimientoMayor'!F28</f>
        <v>                             -  </v>
      </c>
      <c r="M29" s="723" t="str">
        <f>+'IX. Costos MantenimientoMayor'!G28</f>
        <v>                             -  </v>
      </c>
      <c r="N29" s="723">
        <v>0</v>
      </c>
      <c r="O29" s="723">
        <f t="shared" si="0"/>
        <v>0</v>
      </c>
      <c r="P29" s="606"/>
    </row>
    <row r="30" spans="8:15">
      <c r="H30" s="693">
        <v>2045</v>
      </c>
      <c r="I30" s="693"/>
      <c r="J30" s="723" t="str">
        <f>+'IX. Costos MantenimientoMayor'!D29</f>
        <v>                             -  </v>
      </c>
      <c r="K30" s="723" t="str">
        <f>+'IX. Costos MantenimientoMayor'!E29</f>
        <v>                             -  </v>
      </c>
      <c r="L30" s="723" t="str">
        <f>+'IX. Costos MantenimientoMayor'!F29</f>
        <v>                             -  </v>
      </c>
      <c r="M30" s="723" t="str">
        <f>+'IX. Costos MantenimientoMayor'!G29</f>
        <v>                             -  </v>
      </c>
      <c r="N30" s="723">
        <v>0</v>
      </c>
      <c r="O30" s="723">
        <f t="shared" si="0"/>
        <v>0</v>
      </c>
    </row>
    <row r="31" spans="2:15">
      <c r="B31" s="709"/>
      <c r="E31" s="606"/>
      <c r="F31" s="606"/>
      <c r="H31" s="693">
        <v>2046</v>
      </c>
      <c r="I31" s="693"/>
      <c r="J31" s="723" t="str">
        <f>+'IX. Costos MantenimientoMayor'!D30</f>
        <v>                             -  </v>
      </c>
      <c r="K31" s="723" t="str">
        <f>+'IX. Costos MantenimientoMayor'!E30</f>
        <v>                             -  </v>
      </c>
      <c r="L31" s="723">
        <f>+'IX. Costos MantenimientoMayor'!F30</f>
        <v>188740447</v>
      </c>
      <c r="M31" s="723" t="str">
        <f>+'IX. Costos MantenimientoMayor'!G30</f>
        <v>                             -  </v>
      </c>
      <c r="N31" s="723">
        <v>0</v>
      </c>
      <c r="O31" s="723">
        <f t="shared" si="0"/>
        <v>188740447</v>
      </c>
    </row>
    <row r="32" spans="2:15">
      <c r="B32" s="709"/>
      <c r="E32" s="606"/>
      <c r="F32" s="606"/>
      <c r="H32" s="693">
        <v>2047</v>
      </c>
      <c r="I32" s="693"/>
      <c r="J32" s="723">
        <f>+'IX. Costos MantenimientoMayor'!D31</f>
        <v>49394500</v>
      </c>
      <c r="K32" s="723" t="str">
        <f>+'IX. Costos MantenimientoMayor'!E31</f>
        <v>                             -  </v>
      </c>
      <c r="L32" s="723" t="str">
        <f>+'IX. Costos MantenimientoMayor'!F31</f>
        <v>                             -  </v>
      </c>
      <c r="M32" s="723" t="str">
        <f>+'IX. Costos MantenimientoMayor'!G31</f>
        <v>                             -  </v>
      </c>
      <c r="N32" s="723">
        <v>0</v>
      </c>
      <c r="O32" s="723">
        <f t="shared" si="0"/>
        <v>49394500</v>
      </c>
    </row>
    <row r="33" spans="2:15">
      <c r="B33" s="709"/>
      <c r="E33" s="606"/>
      <c r="F33" s="606"/>
      <c r="H33" s="693">
        <v>2048</v>
      </c>
      <c r="I33" s="693"/>
      <c r="J33" s="723" t="str">
        <f>+'IX. Costos MantenimientoMayor'!D32</f>
        <v>                             -  </v>
      </c>
      <c r="K33" s="723">
        <f>+'IX. Costos MantenimientoMayor'!E32</f>
        <v>1750000</v>
      </c>
      <c r="L33" s="723" t="str">
        <f>+'IX. Costos MantenimientoMayor'!F32</f>
        <v>                             -  </v>
      </c>
      <c r="M33" s="723" t="str">
        <f>+'IX. Costos MantenimientoMayor'!G32</f>
        <v>                             -  </v>
      </c>
      <c r="N33" s="723">
        <v>0</v>
      </c>
      <c r="O33" s="723">
        <f t="shared" si="0"/>
        <v>1750000</v>
      </c>
    </row>
    <row r="34" spans="2:15">
      <c r="B34" s="237"/>
      <c r="C34" s="237"/>
      <c r="D34" s="237"/>
      <c r="E34" s="237"/>
      <c r="F34" s="710"/>
      <c r="H34" s="693">
        <v>2049</v>
      </c>
      <c r="I34" s="693"/>
      <c r="J34" s="723" t="str">
        <f>+'IX. Costos MantenimientoMayor'!D33</f>
        <v>                             -  </v>
      </c>
      <c r="K34" s="723" t="str">
        <f>+'IX. Costos MantenimientoMayor'!E33</f>
        <v>                             -  </v>
      </c>
      <c r="L34" s="723" t="str">
        <f>+'IX. Costos MantenimientoMayor'!F33</f>
        <v>                             -  </v>
      </c>
      <c r="M34" s="723" t="str">
        <f>+'IX. Costos MantenimientoMayor'!G33</f>
        <v>                             -  </v>
      </c>
      <c r="N34" s="723">
        <v>0</v>
      </c>
      <c r="O34" s="723">
        <f t="shared" si="0"/>
        <v>0</v>
      </c>
    </row>
    <row r="35" spans="2:15">
      <c r="B35" s="709"/>
      <c r="C35" s="654"/>
      <c r="D35" s="654"/>
      <c r="E35" s="606"/>
      <c r="F35" s="229"/>
      <c r="H35" s="693">
        <v>2050</v>
      </c>
      <c r="I35" s="693"/>
      <c r="J35" s="723">
        <f>+'IX. Costos MantenimientoMayor'!D34</f>
        <v>14000000</v>
      </c>
      <c r="K35" s="723" t="str">
        <f>+'IX. Costos MantenimientoMayor'!E34</f>
        <v>                             -  </v>
      </c>
      <c r="L35" s="723" t="str">
        <f>+'IX. Costos MantenimientoMayor'!F34</f>
        <v>                             -  </v>
      </c>
      <c r="M35" s="723" t="str">
        <f>+'IX. Costos MantenimientoMayor'!G34</f>
        <v>                             -  </v>
      </c>
      <c r="N35" s="723">
        <v>0</v>
      </c>
      <c r="O35" s="723">
        <f t="shared" si="0"/>
        <v>14000000</v>
      </c>
    </row>
    <row r="36" spans="2:15">
      <c r="B36" s="281"/>
      <c r="C36" s="654"/>
      <c r="D36" s="654"/>
      <c r="E36" s="711"/>
      <c r="F36" s="231"/>
      <c r="H36" s="693">
        <v>2051</v>
      </c>
      <c r="I36" s="693"/>
      <c r="J36" s="723" t="str">
        <f>+'IX. Costos MantenimientoMayor'!D35</f>
        <v>                             -  </v>
      </c>
      <c r="K36" s="723" t="str">
        <f>+'IX. Costos MantenimientoMayor'!E35</f>
        <v>                             -  </v>
      </c>
      <c r="L36" s="723" t="str">
        <f>+'IX. Costos MantenimientoMayor'!F35</f>
        <v>                             -  </v>
      </c>
      <c r="M36" s="723" t="str">
        <f>+'IX. Costos MantenimientoMayor'!G35</f>
        <v>                             -  </v>
      </c>
      <c r="N36" s="723">
        <v>0</v>
      </c>
      <c r="O36" s="723">
        <f t="shared" si="0"/>
        <v>0</v>
      </c>
    </row>
    <row r="37" spans="2:15">
      <c r="B37" s="709"/>
      <c r="C37" s="654"/>
      <c r="D37" s="654"/>
      <c r="E37" s="711"/>
      <c r="F37" s="231"/>
      <c r="H37" s="693">
        <v>2052</v>
      </c>
      <c r="I37" s="693"/>
      <c r="J37" s="723">
        <f>+'IX. Costos MantenimientoMayor'!D36</f>
        <v>1750000</v>
      </c>
      <c r="K37" s="723" t="str">
        <f>+'IX. Costos MantenimientoMayor'!E36</f>
        <v>                             -  </v>
      </c>
      <c r="L37" s="723" t="str">
        <f>+'IX. Costos MantenimientoMayor'!F36</f>
        <v>                             -  </v>
      </c>
      <c r="M37" s="723" t="str">
        <f>+'IX. Costos MantenimientoMayor'!G36</f>
        <v>                             -  </v>
      </c>
      <c r="N37" s="723">
        <v>0</v>
      </c>
      <c r="O37" s="723">
        <f t="shared" si="0"/>
        <v>1750000</v>
      </c>
    </row>
    <row r="38" spans="2:15">
      <c r="B38" s="709"/>
      <c r="C38" s="654"/>
      <c r="D38" s="654"/>
      <c r="E38" s="711"/>
      <c r="F38" s="231"/>
      <c r="H38" s="693">
        <v>2053</v>
      </c>
      <c r="I38" s="693"/>
      <c r="J38" s="723" t="str">
        <f>+'IX. Costos MantenimientoMayor'!D37</f>
        <v>                             -  </v>
      </c>
      <c r="K38" s="723" t="str">
        <f>+'IX. Costos MantenimientoMayor'!E37</f>
        <v>                             -  </v>
      </c>
      <c r="L38" s="723" t="str">
        <f>+'IX. Costos MantenimientoMayor'!F37</f>
        <v>                             -  </v>
      </c>
      <c r="M38" s="723" t="str">
        <f>+'IX. Costos MantenimientoMayor'!G37</f>
        <v>                             -  </v>
      </c>
      <c r="N38" s="723">
        <v>0</v>
      </c>
      <c r="O38" s="723">
        <f t="shared" si="0"/>
        <v>0</v>
      </c>
    </row>
    <row r="39" spans="2:15">
      <c r="B39" s="709"/>
      <c r="C39" s="654"/>
      <c r="D39" s="654"/>
      <c r="E39" s="711"/>
      <c r="F39" s="231"/>
      <c r="H39" s="693">
        <v>2054</v>
      </c>
      <c r="I39" s="693"/>
      <c r="J39" s="723" t="str">
        <f>+'IX. Costos MantenimientoMayor'!D38</f>
        <v>                             -  </v>
      </c>
      <c r="K39" s="723" t="str">
        <f>+'IX. Costos MantenimientoMayor'!E38</f>
        <v>                             -  </v>
      </c>
      <c r="L39" s="723">
        <f>+'IX. Costos MantenimientoMayor'!F38</f>
        <v>163247831</v>
      </c>
      <c r="M39" s="723" t="str">
        <f>+'IX. Costos MantenimientoMayor'!G38</f>
        <v>                             -  </v>
      </c>
      <c r="N39" s="723">
        <v>0</v>
      </c>
      <c r="O39" s="723">
        <f t="shared" si="0"/>
        <v>163247831</v>
      </c>
    </row>
    <row r="40" spans="2:15">
      <c r="B40" s="709"/>
      <c r="C40" s="654"/>
      <c r="D40" s="654"/>
      <c r="E40" s="711"/>
      <c r="F40" s="231"/>
      <c r="H40" s="693">
        <v>2055</v>
      </c>
      <c r="I40" s="693"/>
      <c r="J40" s="723" t="str">
        <f>+'IX. Costos MantenimientoMayor'!D39</f>
        <v>                             -  </v>
      </c>
      <c r="K40" s="723" t="str">
        <f>+'IX. Costos MantenimientoMayor'!E39</f>
        <v>                             -  </v>
      </c>
      <c r="L40" s="723" t="str">
        <f>+'IX. Costos MantenimientoMayor'!F39</f>
        <v>                             -  </v>
      </c>
      <c r="M40" s="723" t="str">
        <f>+'IX. Costos MantenimientoMayor'!G39</f>
        <v>                             -  </v>
      </c>
      <c r="N40" s="723">
        <v>0</v>
      </c>
      <c r="O40" s="723">
        <f t="shared" si="0"/>
        <v>0</v>
      </c>
    </row>
    <row r="41" spans="2:15">
      <c r="B41" s="709"/>
      <c r="C41" s="654"/>
      <c r="D41" s="654"/>
      <c r="E41" s="711"/>
      <c r="F41" s="231"/>
      <c r="H41" s="693">
        <v>2056</v>
      </c>
      <c r="I41" s="693"/>
      <c r="J41" s="723" t="str">
        <f>+'IX. Costos MantenimientoMayor'!D40</f>
        <v>                             -  </v>
      </c>
      <c r="K41" s="723">
        <f>+'IX. Costos MantenimientoMayor'!E40</f>
        <v>1750000</v>
      </c>
      <c r="L41" s="723" t="str">
        <f>+'IX. Costos MantenimientoMayor'!F40</f>
        <v>                             -  </v>
      </c>
      <c r="M41" s="723" t="str">
        <f>+'IX. Costos MantenimientoMayor'!G40</f>
        <v>                             -  </v>
      </c>
      <c r="N41" s="723">
        <v>0</v>
      </c>
      <c r="O41" s="723">
        <f t="shared" si="0"/>
        <v>1750000</v>
      </c>
    </row>
    <row r="42" spans="2:15">
      <c r="B42" s="709"/>
      <c r="C42" s="654"/>
      <c r="D42" s="654"/>
      <c r="E42" s="711"/>
      <c r="F42" s="231"/>
      <c r="H42" s="693">
        <v>2057</v>
      </c>
      <c r="I42" s="693"/>
      <c r="J42" s="723">
        <f>+'IX. Costos MantenimientoMayor'!D41</f>
        <v>49394500</v>
      </c>
      <c r="K42" s="723" t="str">
        <f>+'IX. Costos MantenimientoMayor'!E41</f>
        <v>                             -  </v>
      </c>
      <c r="L42" s="723" t="str">
        <f>+'IX. Costos MantenimientoMayor'!F41</f>
        <v>                             -  </v>
      </c>
      <c r="M42" s="723" t="str">
        <f>+'IX. Costos MantenimientoMayor'!G41</f>
        <v>                             -  </v>
      </c>
      <c r="N42" s="723">
        <v>0</v>
      </c>
      <c r="O42" s="723">
        <f t="shared" si="0"/>
        <v>49394500</v>
      </c>
    </row>
    <row r="43" spans="2:15">
      <c r="B43" s="237"/>
      <c r="C43" s="712"/>
      <c r="D43" s="713"/>
      <c r="E43" s="712"/>
      <c r="F43" s="714"/>
      <c r="H43" s="693">
        <v>2058</v>
      </c>
      <c r="I43" s="693"/>
      <c r="J43" s="723">
        <f>+'IX. Costos MantenimientoMayor'!D42</f>
        <v>14000000</v>
      </c>
      <c r="K43" s="723" t="str">
        <f>+'IX. Costos MantenimientoMayor'!E42</f>
        <v>                             -  </v>
      </c>
      <c r="L43" s="723" t="str">
        <f>+'IX. Costos MantenimientoMayor'!F42</f>
        <v>                             -  </v>
      </c>
      <c r="M43" s="723" t="str">
        <f>+'IX. Costos MantenimientoMayor'!G42</f>
        <v>                             -  </v>
      </c>
      <c r="N43" s="723">
        <f>+F10</f>
        <v>449073280</v>
      </c>
      <c r="O43" s="723">
        <f t="shared" si="0"/>
        <v>463073280</v>
      </c>
    </row>
    <row r="44" spans="2:15">
      <c r="B44" s="237"/>
      <c r="C44" s="237"/>
      <c r="D44" s="237"/>
      <c r="E44" s="237"/>
      <c r="F44" s="710"/>
      <c r="H44" s="693">
        <v>2059</v>
      </c>
      <c r="I44" s="693"/>
      <c r="J44" s="723" t="str">
        <f>+'IX. Costos MantenimientoMayor'!D43</f>
        <v>                             -  </v>
      </c>
      <c r="K44" s="723" t="str">
        <f>+'IX. Costos MantenimientoMayor'!E43</f>
        <v>                             -  </v>
      </c>
      <c r="L44" s="723" t="str">
        <f>+'IX. Costos MantenimientoMayor'!F43</f>
        <v>                             -  </v>
      </c>
      <c r="M44" s="723" t="str">
        <f>+'IX. Costos MantenimientoMayor'!G43</f>
        <v>                             -  </v>
      </c>
      <c r="N44" s="723">
        <v>0</v>
      </c>
      <c r="O44" s="723">
        <f t="shared" si="0"/>
        <v>0</v>
      </c>
    </row>
    <row r="45" spans="2:15">
      <c r="B45" s="320"/>
      <c r="H45" s="693">
        <v>2060</v>
      </c>
      <c r="I45" s="693"/>
      <c r="J45" s="723" t="str">
        <f>+'IX. Costos MantenimientoMayor'!D44</f>
        <v>                             -  </v>
      </c>
      <c r="K45" s="723" t="str">
        <f>+'IX. Costos MantenimientoMayor'!E44</f>
        <v>                             -  </v>
      </c>
      <c r="L45" s="723" t="str">
        <f>+'IX. Costos MantenimientoMayor'!F44</f>
        <v>                             -  </v>
      </c>
      <c r="M45" s="723" t="str">
        <f>+'IX. Costos MantenimientoMayor'!G44</f>
        <v>                             -  </v>
      </c>
      <c r="N45" s="723">
        <v>0</v>
      </c>
      <c r="O45" s="723">
        <f t="shared" si="0"/>
        <v>0</v>
      </c>
    </row>
    <row r="46" spans="8:15">
      <c r="H46" s="693">
        <v>2061</v>
      </c>
      <c r="I46" s="693"/>
      <c r="J46" s="723">
        <f>+'IX. Costos MantenimientoMayor'!D45</f>
        <v>0</v>
      </c>
      <c r="K46" s="723" t="str">
        <f>+'IX. Costos MantenimientoMayor'!E45</f>
        <v>                             -  </v>
      </c>
      <c r="L46" s="723" t="str">
        <f>+'IX. Costos MantenimientoMayor'!F45</f>
        <v>                             -  </v>
      </c>
      <c r="M46" s="723" t="str">
        <f>+'IX. Costos MantenimientoMayor'!G45</f>
        <v>                             -  </v>
      </c>
      <c r="N46" s="723">
        <v>0</v>
      </c>
      <c r="O46" s="723">
        <f t="shared" si="0"/>
        <v>0</v>
      </c>
    </row>
    <row r="47" spans="8:15">
      <c r="H47" s="693">
        <v>2062</v>
      </c>
      <c r="I47" s="693"/>
      <c r="J47" s="723">
        <f>+'IX. Costos MantenimientoMayor'!D46</f>
        <v>1750000</v>
      </c>
      <c r="K47" s="723" t="str">
        <f>+'IX. Costos MantenimientoMayor'!E46</f>
        <v>                             -  </v>
      </c>
      <c r="L47" s="723" t="str">
        <f>+'IX. Costos MantenimientoMayor'!F46</f>
        <v>                             -  </v>
      </c>
      <c r="M47" s="723" t="str">
        <f>+'IX. Costos MantenimientoMayor'!G46</f>
        <v>                             -  </v>
      </c>
      <c r="N47" s="723">
        <v>0</v>
      </c>
      <c r="O47" s="723">
        <f t="shared" si="0"/>
        <v>1750000</v>
      </c>
    </row>
    <row r="48" spans="2:15">
      <c r="B48" s="281"/>
      <c r="C48" s="4"/>
      <c r="D48" s="711"/>
      <c r="E48" s="711"/>
      <c r="F48" s="711"/>
      <c r="H48" s="693">
        <v>2063</v>
      </c>
      <c r="I48" s="693">
        <v>0</v>
      </c>
      <c r="J48" s="723">
        <v>0</v>
      </c>
      <c r="K48" s="723">
        <v>0</v>
      </c>
      <c r="L48" s="723">
        <v>0</v>
      </c>
      <c r="M48" s="723">
        <v>0</v>
      </c>
      <c r="N48" s="723">
        <v>0</v>
      </c>
      <c r="O48" s="723">
        <v>0</v>
      </c>
    </row>
    <row r="49" spans="2:8">
      <c r="B49" s="281"/>
      <c r="C49" s="4"/>
      <c r="D49" s="711"/>
      <c r="E49" s="711"/>
      <c r="F49" s="711"/>
      <c r="H49" t="s">
        <v>8</v>
      </c>
    </row>
    <row r="50" spans="2:6">
      <c r="B50" s="281"/>
      <c r="C50" s="4"/>
      <c r="D50" s="715"/>
      <c r="E50" s="231"/>
      <c r="F50" s="711"/>
    </row>
    <row r="51" spans="2:6">
      <c r="B51" s="281"/>
      <c r="C51" s="4"/>
      <c r="D51" s="715"/>
      <c r="E51" s="231"/>
      <c r="F51" s="711"/>
    </row>
    <row r="52" spans="2:6">
      <c r="B52" s="242"/>
      <c r="C52" s="716"/>
      <c r="D52" s="242"/>
      <c r="E52" s="242"/>
      <c r="F52" s="717"/>
    </row>
    <row r="53" spans="2:6">
      <c r="B53" s="718"/>
      <c r="C53" s="716"/>
      <c r="D53" s="242"/>
      <c r="E53" s="719"/>
      <c r="F53" s="719"/>
    </row>
    <row r="54" spans="2:6">
      <c r="B54" s="281"/>
      <c r="C54" s="4"/>
      <c r="D54" s="4"/>
      <c r="E54" s="720"/>
      <c r="F54" s="711"/>
    </row>
    <row r="55" spans="2:6">
      <c r="B55" s="718"/>
      <c r="C55" s="716"/>
      <c r="D55" s="716"/>
      <c r="E55" s="721"/>
      <c r="F55" s="721"/>
    </row>
    <row r="56" spans="2:6">
      <c r="B56" s="281"/>
      <c r="C56" s="4"/>
      <c r="D56" s="4"/>
      <c r="E56" s="711"/>
      <c r="F56" s="711"/>
    </row>
    <row r="57" spans="2:6">
      <c r="B57" s="281"/>
      <c r="C57" s="4"/>
      <c r="D57" s="4"/>
      <c r="E57" s="711"/>
      <c r="F57" s="711"/>
    </row>
    <row r="58" spans="2:6">
      <c r="B58" s="281"/>
      <c r="C58" s="4"/>
      <c r="D58" s="4"/>
      <c r="E58" s="711"/>
      <c r="F58" s="711"/>
    </row>
    <row r="59" spans="2:6">
      <c r="B59" s="281"/>
      <c r="C59" s="4"/>
      <c r="D59" s="4"/>
      <c r="E59" s="711"/>
      <c r="F59" s="711"/>
    </row>
    <row r="60" spans="2:6">
      <c r="B60" s="281"/>
      <c r="C60" s="4"/>
      <c r="D60" s="4"/>
      <c r="E60" s="711"/>
      <c r="F60" s="711"/>
    </row>
    <row r="61" spans="2:6">
      <c r="B61" s="281"/>
      <c r="C61" s="4"/>
      <c r="D61" s="4"/>
      <c r="E61" s="711"/>
      <c r="F61" s="711"/>
    </row>
    <row r="62" spans="2:6">
      <c r="B62" s="687"/>
      <c r="C62" s="4"/>
      <c r="D62" s="4"/>
      <c r="E62" s="711"/>
      <c r="F62" s="711"/>
    </row>
    <row r="63" spans="2:6">
      <c r="B63" s="687"/>
      <c r="C63" s="4"/>
      <c r="D63" s="4"/>
      <c r="E63" s="711"/>
      <c r="F63" s="711"/>
    </row>
    <row r="64" spans="2:6">
      <c r="B64" s="687"/>
      <c r="C64" s="4"/>
      <c r="D64" s="4"/>
      <c r="E64" s="711"/>
      <c r="F64" s="711"/>
    </row>
    <row r="65" spans="2:6">
      <c r="B65" s="687"/>
      <c r="C65" s="4"/>
      <c r="D65" s="726"/>
      <c r="E65" s="711"/>
      <c r="F65" s="711"/>
    </row>
    <row r="66" spans="2:6">
      <c r="B66" s="727"/>
      <c r="C66" s="716"/>
      <c r="D66" s="728"/>
      <c r="E66" s="721"/>
      <c r="F66" s="729"/>
    </row>
    <row r="67" spans="2:6">
      <c r="B67" s="730"/>
      <c r="C67" s="730"/>
      <c r="D67" s="730"/>
      <c r="E67" s="730"/>
      <c r="F67" s="710"/>
    </row>
    <row r="68" spans="2:2">
      <c r="B68" s="687"/>
    </row>
    <row r="71" spans="2:7">
      <c r="B71" s="237"/>
      <c r="C71" s="328"/>
      <c r="D71" s="328"/>
      <c r="E71" s="328"/>
      <c r="F71" s="328"/>
      <c r="G71" s="605"/>
    </row>
    <row r="72" spans="2:7">
      <c r="B72" s="242"/>
      <c r="C72" s="716"/>
      <c r="D72" s="716"/>
      <c r="E72" s="731"/>
      <c r="F72" s="731"/>
      <c r="G72" s="242"/>
    </row>
    <row r="73" spans="2:7">
      <c r="B73" s="242"/>
      <c r="C73" s="716"/>
      <c r="D73" s="716"/>
      <c r="E73" s="719"/>
      <c r="F73" s="731"/>
      <c r="G73" s="242"/>
    </row>
    <row r="74" spans="2:6">
      <c r="B74" s="242"/>
      <c r="C74" s="716"/>
      <c r="D74" s="716"/>
      <c r="E74" s="719"/>
      <c r="F74" s="719"/>
    </row>
    <row r="75" spans="2:6">
      <c r="B75" s="281"/>
      <c r="C75" s="4"/>
      <c r="D75" s="732"/>
      <c r="E75" s="711"/>
      <c r="F75" s="711"/>
    </row>
    <row r="76" spans="2:6">
      <c r="B76" s="281"/>
      <c r="C76" s="4"/>
      <c r="D76" s="732"/>
      <c r="E76" s="711"/>
      <c r="F76" s="711"/>
    </row>
    <row r="77" spans="2:6">
      <c r="B77" s="281"/>
      <c r="C77" s="4"/>
      <c r="D77" s="732"/>
      <c r="E77" s="711"/>
      <c r="F77" s="711"/>
    </row>
    <row r="78" spans="2:6">
      <c r="B78" s="281"/>
      <c r="C78" s="4"/>
      <c r="D78" s="732"/>
      <c r="E78" s="711"/>
      <c r="F78" s="711"/>
    </row>
    <row r="79" spans="2:6">
      <c r="B79" s="281"/>
      <c r="C79" s="4"/>
      <c r="D79" s="732"/>
      <c r="E79" s="711"/>
      <c r="F79" s="711"/>
    </row>
    <row r="80" spans="2:6">
      <c r="B80" s="281"/>
      <c r="C80" s="4"/>
      <c r="D80" s="726"/>
      <c r="E80" s="231"/>
      <c r="F80" s="711"/>
    </row>
    <row r="81" spans="2:6">
      <c r="B81" s="281"/>
      <c r="C81" s="4"/>
      <c r="D81" s="4"/>
      <c r="E81" s="711"/>
      <c r="F81" s="711"/>
    </row>
    <row r="82" spans="2:6">
      <c r="B82" s="281"/>
      <c r="C82" s="4"/>
      <c r="D82" s="732"/>
      <c r="E82" s="711"/>
      <c r="F82" s="711"/>
    </row>
    <row r="83" spans="2:6">
      <c r="B83" s="687"/>
      <c r="C83" s="4"/>
      <c r="D83" s="715"/>
      <c r="E83" s="231"/>
      <c r="F83" s="711"/>
    </row>
    <row r="84" spans="2:6">
      <c r="B84" s="687"/>
      <c r="C84" s="4"/>
      <c r="D84" s="715"/>
      <c r="E84" s="231"/>
      <c r="F84" s="231"/>
    </row>
    <row r="85" spans="2:6">
      <c r="B85" s="727"/>
      <c r="C85" s="733"/>
      <c r="D85" s="733"/>
      <c r="E85" s="242"/>
      <c r="F85" s="719"/>
    </row>
    <row r="86" spans="2:6">
      <c r="B86" s="281"/>
      <c r="C86" s="4"/>
      <c r="D86" s="4"/>
      <c r="E86" s="711"/>
      <c r="F86" s="231"/>
    </row>
    <row r="87" spans="2:6">
      <c r="B87" s="281"/>
      <c r="C87" s="4"/>
      <c r="D87" s="4"/>
      <c r="E87" s="606"/>
      <c r="F87" s="606"/>
    </row>
    <row r="88" spans="2:6">
      <c r="B88" s="281"/>
      <c r="C88" s="4"/>
      <c r="D88" s="4"/>
      <c r="E88" s="606"/>
      <c r="F88" s="606"/>
    </row>
    <row r="89" spans="2:6">
      <c r="B89" s="281"/>
      <c r="C89" s="4"/>
      <c r="D89" s="4"/>
      <c r="E89" s="711"/>
      <c r="F89" s="711"/>
    </row>
    <row r="90" spans="2:6">
      <c r="B90" s="281"/>
      <c r="C90" s="4"/>
      <c r="D90" s="726"/>
      <c r="E90" s="711"/>
      <c r="F90" s="711"/>
    </row>
    <row r="91" spans="2:6">
      <c r="B91" s="281"/>
      <c r="C91" s="4"/>
      <c r="D91" s="4"/>
      <c r="E91" s="711"/>
      <c r="F91" s="711"/>
    </row>
    <row r="92" spans="2:6">
      <c r="B92" s="281"/>
      <c r="C92" s="4"/>
      <c r="D92" s="4"/>
      <c r="E92" s="711"/>
      <c r="F92" s="711"/>
    </row>
    <row r="93" spans="2:6">
      <c r="B93" s="281"/>
      <c r="C93" s="4"/>
      <c r="D93" s="4"/>
      <c r="E93" s="711"/>
      <c r="F93" s="711"/>
    </row>
    <row r="94" spans="2:6">
      <c r="B94" s="281"/>
      <c r="C94" s="4"/>
      <c r="D94" s="4"/>
      <c r="E94" s="711"/>
      <c r="F94" s="711"/>
    </row>
    <row r="95" spans="2:6">
      <c r="B95" s="281"/>
      <c r="C95" s="4"/>
      <c r="D95" s="4"/>
      <c r="E95" s="711"/>
      <c r="F95" s="711"/>
    </row>
    <row r="96" spans="2:6">
      <c r="B96" s="281"/>
      <c r="C96" s="4"/>
      <c r="D96" s="4"/>
      <c r="E96" s="711"/>
      <c r="F96" s="711"/>
    </row>
    <row r="97" spans="2:6">
      <c r="B97" s="281"/>
      <c r="C97" s="4"/>
      <c r="D97" s="4"/>
      <c r="E97" s="711"/>
      <c r="F97" s="711"/>
    </row>
    <row r="98" spans="2:6">
      <c r="B98" s="281"/>
      <c r="C98" s="4"/>
      <c r="D98" s="4"/>
      <c r="E98" s="711"/>
      <c r="F98" s="711"/>
    </row>
    <row r="99" spans="2:6">
      <c r="B99" s="281"/>
      <c r="C99" s="4"/>
      <c r="D99" s="4"/>
      <c r="E99" s="711"/>
      <c r="F99" s="711"/>
    </row>
    <row r="100" spans="2:6">
      <c r="B100" s="281"/>
      <c r="C100" s="4"/>
      <c r="D100" s="4"/>
      <c r="E100" s="711"/>
      <c r="F100" s="711"/>
    </row>
    <row r="101" spans="2:6">
      <c r="B101" s="281"/>
      <c r="C101" s="4"/>
      <c r="D101" s="4"/>
      <c r="E101" s="711"/>
      <c r="F101" s="711"/>
    </row>
    <row r="102" spans="2:6">
      <c r="B102" s="281"/>
      <c r="C102" s="4"/>
      <c r="D102" s="4"/>
      <c r="E102" s="711"/>
      <c r="F102" s="711"/>
    </row>
    <row r="103" spans="2:6">
      <c r="B103" s="281"/>
      <c r="C103" s="4"/>
      <c r="D103" s="4"/>
      <c r="E103" s="711"/>
      <c r="F103" s="711"/>
    </row>
    <row r="104" spans="2:6">
      <c r="B104" s="281"/>
      <c r="C104" s="4"/>
      <c r="D104" s="4"/>
      <c r="E104" s="711"/>
      <c r="F104" s="711"/>
    </row>
    <row r="105" spans="2:6">
      <c r="B105" s="281"/>
      <c r="C105" s="4"/>
      <c r="D105" s="4"/>
      <c r="E105" s="711"/>
      <c r="F105" s="711"/>
    </row>
    <row r="106" spans="2:6">
      <c r="B106" s="281"/>
      <c r="C106" s="4"/>
      <c r="D106" s="726"/>
      <c r="E106" s="711"/>
      <c r="F106" s="711"/>
    </row>
    <row r="107" spans="2:6">
      <c r="B107" s="718"/>
      <c r="C107" s="716"/>
      <c r="D107" s="734"/>
      <c r="E107" s="729"/>
      <c r="F107" s="729"/>
    </row>
    <row r="108" spans="2:6">
      <c r="B108" s="730"/>
      <c r="C108" s="730"/>
      <c r="D108" s="730"/>
      <c r="E108" s="730"/>
      <c r="F108" s="710"/>
    </row>
    <row r="109" spans="2:2">
      <c r="B109" s="295"/>
    </row>
    <row r="112" spans="2:7">
      <c r="B112" s="237"/>
      <c r="C112" s="328"/>
      <c r="D112" s="328"/>
      <c r="E112" s="328"/>
      <c r="F112" s="328"/>
      <c r="G112" s="605"/>
    </row>
    <row r="113" spans="5:6">
      <c r="E113" s="606"/>
      <c r="F113" s="606"/>
    </row>
    <row r="114" spans="4:6">
      <c r="D114" s="606"/>
      <c r="F114" s="229"/>
    </row>
    <row r="115" spans="4:6">
      <c r="D115" s="606"/>
      <c r="F115" s="229"/>
    </row>
    <row r="116" spans="4:6">
      <c r="D116" s="606"/>
      <c r="E116" s="606"/>
      <c r="F116" s="229"/>
    </row>
    <row r="117" spans="2:6">
      <c r="B117" s="687"/>
      <c r="C117" s="654"/>
      <c r="D117" s="606"/>
      <c r="E117" s="711"/>
      <c r="F117" s="711"/>
    </row>
    <row r="118" spans="2:6">
      <c r="B118" s="687"/>
      <c r="C118" s="654"/>
      <c r="D118" s="711"/>
      <c r="E118" s="711"/>
      <c r="F118" s="711"/>
    </row>
    <row r="119" spans="2:6">
      <c r="B119" s="687"/>
      <c r="C119" s="654"/>
      <c r="D119" s="711"/>
      <c r="E119" s="711"/>
      <c r="F119" s="711"/>
    </row>
    <row r="120" spans="2:6">
      <c r="B120" s="687"/>
      <c r="C120" s="654"/>
      <c r="D120" s="711"/>
      <c r="E120" s="711"/>
      <c r="F120" s="711"/>
    </row>
    <row r="121" spans="2:6">
      <c r="B121" s="687"/>
      <c r="C121" s="654"/>
      <c r="D121" s="711"/>
      <c r="E121" s="711"/>
      <c r="F121" s="711"/>
    </row>
    <row r="122" spans="2:6">
      <c r="B122" s="687"/>
      <c r="C122" s="654"/>
      <c r="D122" s="711"/>
      <c r="E122" s="711"/>
      <c r="F122" s="711"/>
    </row>
    <row r="123" spans="4:6">
      <c r="D123" s="735"/>
      <c r="E123" s="229"/>
      <c r="F123" s="711"/>
    </row>
    <row r="124" spans="2:6">
      <c r="B124" s="736"/>
      <c r="C124" s="328"/>
      <c r="D124" s="328"/>
      <c r="E124" s="328"/>
      <c r="F124" s="737"/>
    </row>
  </sheetData>
  <mergeCells count="2">
    <mergeCell ref="B2:Q2"/>
    <mergeCell ref="B4:Q4"/>
  </mergeCells>
  <pageMargins left="0.7" right="0.7" top="0.75" bottom="0.75" header="0.3" footer="0.3"/>
  <pageSetup paperSize="9" orientation="portrait"/>
  <headerFooter/>
  <ignoredErrors>
    <ignoredError sqref="M9:M10 L9:L10 K11 J10:K10" formulaRange="1"/>
  </ignoredError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Y218"/>
  <sheetViews>
    <sheetView zoomScale="90" zoomScaleNormal="90" topLeftCell="C7" workbookViewId="0">
      <selection activeCell="E60" sqref="E60:E65"/>
    </sheetView>
  </sheetViews>
  <sheetFormatPr defaultColWidth="10.6666666666667" defaultRowHeight="15"/>
  <cols>
    <col min="1" max="1" width="3.33333333333333" customWidth="1"/>
    <col min="2" max="2" width="32.6666666666667" customWidth="1"/>
    <col min="4" max="4" width="15.552380952381" customWidth="1"/>
    <col min="5" max="5" width="20.1047619047619" style="632" customWidth="1"/>
    <col min="6" max="6" width="24.4380952380952" style="632" customWidth="1"/>
    <col min="7" max="7" width="11.552380952381" customWidth="1"/>
    <col min="8" max="8" width="11.3333333333333" customWidth="1"/>
    <col min="9" max="9" width="32.6666666666667" customWidth="1"/>
    <col min="10" max="10" width="15.3333333333333" customWidth="1"/>
    <col min="11" max="11" width="21.6666666666667" customWidth="1"/>
    <col min="13" max="13" width="16" customWidth="1"/>
    <col min="14" max="14" width="8.43809523809524" customWidth="1"/>
    <col min="15" max="16" width="12.3333333333333" customWidth="1"/>
    <col min="17" max="22" width="14.552380952381" customWidth="1"/>
    <col min="23" max="23" width="20.6666666666667" customWidth="1"/>
    <col min="24" max="24" width="13.6666666666667" customWidth="1"/>
    <col min="25" max="25" width="15.3333333333333" customWidth="1"/>
  </cols>
  <sheetData>
    <row r="2" ht="21" customHeight="1" spans="2:16">
      <c r="B2" s="2" t="s">
        <v>0</v>
      </c>
      <c r="C2" s="2"/>
      <c r="D2" s="2"/>
      <c r="E2" s="2"/>
      <c r="F2" s="2"/>
      <c r="G2" s="2"/>
      <c r="H2" s="2"/>
      <c r="I2" s="2"/>
      <c r="J2" s="2"/>
      <c r="K2" s="2"/>
      <c r="L2" s="2"/>
      <c r="M2" s="2"/>
      <c r="N2" s="2"/>
      <c r="O2" s="2"/>
      <c r="P2" s="2"/>
    </row>
    <row r="3" ht="21" spans="2:13">
      <c r="B3" s="179"/>
      <c r="C3" s="179"/>
      <c r="D3" s="179"/>
      <c r="E3" s="633"/>
      <c r="F3" s="633"/>
      <c r="G3" s="179"/>
      <c r="H3" s="179"/>
      <c r="I3" s="179"/>
      <c r="J3" s="179"/>
      <c r="K3" s="179"/>
      <c r="L3" s="179"/>
      <c r="M3" s="179"/>
    </row>
    <row r="4" ht="18.75" spans="2:20">
      <c r="B4" s="515" t="s">
        <v>512</v>
      </c>
      <c r="C4" s="515"/>
      <c r="D4" s="515"/>
      <c r="E4" s="515"/>
      <c r="F4" s="515"/>
      <c r="G4" s="515"/>
      <c r="H4" s="515"/>
      <c r="I4" s="515"/>
      <c r="J4" s="515"/>
      <c r="K4" s="515"/>
      <c r="L4" s="515"/>
      <c r="M4" s="515"/>
      <c r="N4" s="515"/>
      <c r="O4" s="515"/>
      <c r="P4" s="515"/>
      <c r="Q4" s="242"/>
      <c r="R4" s="242"/>
      <c r="S4" s="242"/>
      <c r="T4" s="242"/>
    </row>
    <row r="6" spans="2:14">
      <c r="B6" t="s">
        <v>513</v>
      </c>
      <c r="I6" t="s">
        <v>514</v>
      </c>
      <c r="N6" t="s">
        <v>515</v>
      </c>
    </row>
    <row r="7" ht="16.5" customHeight="1" spans="2:25">
      <c r="B7" s="180" t="s">
        <v>10</v>
      </c>
      <c r="C7" s="181" t="s">
        <v>11</v>
      </c>
      <c r="D7" s="182" t="s">
        <v>12</v>
      </c>
      <c r="E7" s="634" t="s">
        <v>493</v>
      </c>
      <c r="F7" s="634" t="s">
        <v>516</v>
      </c>
      <c r="I7" s="180" t="s">
        <v>10</v>
      </c>
      <c r="J7" s="180" t="s">
        <v>517</v>
      </c>
      <c r="K7" s="180" t="s">
        <v>518</v>
      </c>
      <c r="N7" s="182" t="s">
        <v>200</v>
      </c>
      <c r="O7" s="221" t="s">
        <v>519</v>
      </c>
      <c r="P7" s="222"/>
      <c r="Q7" s="244" t="s">
        <v>496</v>
      </c>
      <c r="R7" s="245"/>
      <c r="S7" s="244" t="s">
        <v>520</v>
      </c>
      <c r="T7" s="245"/>
      <c r="U7" s="244" t="s">
        <v>497</v>
      </c>
      <c r="V7" s="245"/>
      <c r="W7" s="246" t="s">
        <v>521</v>
      </c>
      <c r="X7" s="247" t="s">
        <v>500</v>
      </c>
      <c r="Y7" s="247" t="s">
        <v>170</v>
      </c>
    </row>
    <row r="8" spans="2:25">
      <c r="B8" s="184" t="s">
        <v>522</v>
      </c>
      <c r="C8" s="185"/>
      <c r="D8" s="185"/>
      <c r="E8" s="635"/>
      <c r="F8" s="636"/>
      <c r="I8" s="188" t="s">
        <v>523</v>
      </c>
      <c r="J8" s="223">
        <f>+F19+F29</f>
        <v>536575</v>
      </c>
      <c r="K8" s="653">
        <f>+J8*12</f>
        <v>6438900</v>
      </c>
      <c r="N8" s="182"/>
      <c r="O8" s="182" t="s">
        <v>524</v>
      </c>
      <c r="P8" s="182" t="s">
        <v>525</v>
      </c>
      <c r="Q8" s="181" t="s">
        <v>524</v>
      </c>
      <c r="R8" s="181" t="s">
        <v>525</v>
      </c>
      <c r="S8" s="181" t="s">
        <v>524</v>
      </c>
      <c r="T8" s="181" t="s">
        <v>525</v>
      </c>
      <c r="U8" s="181" t="s">
        <v>524</v>
      </c>
      <c r="V8" s="181" t="s">
        <v>525</v>
      </c>
      <c r="W8" s="248"/>
      <c r="X8" s="249"/>
      <c r="Y8" s="249"/>
    </row>
    <row r="9" spans="2:25">
      <c r="B9" s="187" t="s">
        <v>526</v>
      </c>
      <c r="C9" s="188" t="s">
        <v>527</v>
      </c>
      <c r="D9" s="189">
        <v>1</v>
      </c>
      <c r="E9" s="637">
        <v>36250</v>
      </c>
      <c r="F9" s="637">
        <f>+E9*D9</f>
        <v>36250</v>
      </c>
      <c r="I9" s="188" t="s">
        <v>528</v>
      </c>
      <c r="J9" s="223">
        <f>+F38</f>
        <v>70250</v>
      </c>
      <c r="K9" s="653">
        <f>+J9*12</f>
        <v>843000</v>
      </c>
      <c r="N9" s="189">
        <v>2024</v>
      </c>
      <c r="O9" s="640">
        <f>+'VIII. Costos Op y Mant'!O9</f>
        <v>28090881.3664211</v>
      </c>
      <c r="P9" s="640">
        <f>+'VIII. Costos Op y Mant'!P9</f>
        <v>25252655.1906063</v>
      </c>
      <c r="Q9" s="657">
        <v>0</v>
      </c>
      <c r="R9" s="657">
        <v>0</v>
      </c>
      <c r="S9" s="657">
        <v>0</v>
      </c>
      <c r="T9" s="657">
        <v>0</v>
      </c>
      <c r="U9" s="657">
        <v>0</v>
      </c>
      <c r="V9" s="657">
        <v>0</v>
      </c>
      <c r="W9" s="657">
        <v>0</v>
      </c>
      <c r="X9" s="657">
        <v>0</v>
      </c>
      <c r="Y9" s="653">
        <f>+SUM(O9:X9)</f>
        <v>53343536.5570275</v>
      </c>
    </row>
    <row r="10" ht="30" spans="2:25">
      <c r="B10" s="187" t="s">
        <v>529</v>
      </c>
      <c r="C10" s="188" t="s">
        <v>527</v>
      </c>
      <c r="D10" s="189">
        <v>1</v>
      </c>
      <c r="E10" s="637">
        <v>26100</v>
      </c>
      <c r="F10" s="637">
        <f t="shared" ref="F10:F18" si="0">+E10*D10</f>
        <v>26100</v>
      </c>
      <c r="I10" s="188" t="s">
        <v>530</v>
      </c>
      <c r="J10" s="223">
        <f>+F48</f>
        <v>18182.6242807934</v>
      </c>
      <c r="K10" s="653">
        <f>+J10*12</f>
        <v>218191.491369521</v>
      </c>
      <c r="N10" s="189">
        <v>2025</v>
      </c>
      <c r="O10" s="640">
        <f>+'VIII. Costos Op y Mant'!O10</f>
        <v>28090881.3664211</v>
      </c>
      <c r="P10" s="640">
        <f>+'VIII. Costos Op y Mant'!P10</f>
        <v>25252655.1906063</v>
      </c>
      <c r="Q10" s="640">
        <v>0</v>
      </c>
      <c r="R10" s="640">
        <v>0</v>
      </c>
      <c r="S10" s="223">
        <v>0</v>
      </c>
      <c r="T10" s="223">
        <v>0</v>
      </c>
      <c r="U10" s="223">
        <v>0</v>
      </c>
      <c r="V10" s="223">
        <v>0</v>
      </c>
      <c r="W10" s="251">
        <v>0</v>
      </c>
      <c r="X10" s="640">
        <v>0</v>
      </c>
      <c r="Y10" s="653">
        <f>+SUM(O10:X10)</f>
        <v>53343536.5570275</v>
      </c>
    </row>
    <row r="11" spans="2:25">
      <c r="B11" s="187" t="s">
        <v>531</v>
      </c>
      <c r="C11" s="188" t="s">
        <v>527</v>
      </c>
      <c r="D11" s="189">
        <v>2</v>
      </c>
      <c r="E11" s="637">
        <v>18125</v>
      </c>
      <c r="F11" s="637">
        <f t="shared" si="0"/>
        <v>36250</v>
      </c>
      <c r="I11" s="188" t="s">
        <v>532</v>
      </c>
      <c r="J11" s="223">
        <f>+F51</f>
        <v>12500</v>
      </c>
      <c r="K11" s="653">
        <f>+J11*12</f>
        <v>150000</v>
      </c>
      <c r="N11" s="189">
        <v>2026</v>
      </c>
      <c r="O11" s="189"/>
      <c r="P11" s="189"/>
      <c r="Q11" s="640">
        <f>+'[2]V2. Costos Op y Mant'!O11</f>
        <v>95323624.4790142</v>
      </c>
      <c r="R11" s="640">
        <f>+'[2]V2. Costos Op y Mant'!P11</f>
        <v>19798170.692075</v>
      </c>
      <c r="S11" s="223">
        <f>+'[2]V2. Costos Op y Mant'!Q11</f>
        <v>12369770.913825</v>
      </c>
      <c r="T11" s="223">
        <f>+'[2]V2. Costos Op y Mant'!R11</f>
        <v>2962136.74347745</v>
      </c>
      <c r="U11" s="223">
        <f>+'[2]V2. Costos Op y Mant'!S11</f>
        <v>32289776.026</v>
      </c>
      <c r="V11" s="223">
        <f>+'[2]V2. Costos Op y Mant'!T11</f>
        <v>36825855.3788299</v>
      </c>
      <c r="W11" s="251">
        <f t="shared" ref="W11:W48" si="1">+$F$198</f>
        <v>450000</v>
      </c>
      <c r="X11" s="640">
        <f>+K46</f>
        <v>26459912.6346</v>
      </c>
      <c r="Y11" s="653">
        <f>+SUM(O11:X11)</f>
        <v>226479246.867822</v>
      </c>
    </row>
    <row r="12" spans="2:25">
      <c r="B12" s="187" t="s">
        <v>533</v>
      </c>
      <c r="C12" s="188" t="s">
        <v>527</v>
      </c>
      <c r="D12" s="189">
        <v>4</v>
      </c>
      <c r="E12" s="637">
        <v>16500</v>
      </c>
      <c r="F12" s="637">
        <f t="shared" si="0"/>
        <v>66000</v>
      </c>
      <c r="I12" s="228" t="s">
        <v>534</v>
      </c>
      <c r="J12" s="229">
        <f>+F57</f>
        <v>1110000</v>
      </c>
      <c r="K12" s="653">
        <f>+J12*12</f>
        <v>13320000</v>
      </c>
      <c r="N12" s="189">
        <v>2027</v>
      </c>
      <c r="O12" s="189"/>
      <c r="P12" s="189"/>
      <c r="Q12" s="640">
        <f>+'[2]V2. Costos Op y Mant'!O12</f>
        <v>95323624.4790142</v>
      </c>
      <c r="R12" s="640">
        <f>+'[2]V2. Costos Op y Mant'!P12</f>
        <v>19940727.1042945</v>
      </c>
      <c r="S12" s="223">
        <f>+'[2]V2. Costos Op y Mant'!Q12</f>
        <v>12369770.913825</v>
      </c>
      <c r="T12" s="223">
        <f>+'[2]V2. Costos Op y Mant'!R12</f>
        <v>2982576.1659413</v>
      </c>
      <c r="U12" s="223">
        <f>+'[2]V2. Costos Op y Mant'!S12</f>
        <v>32289776.026</v>
      </c>
      <c r="V12" s="223">
        <f>+'[2]V2. Costos Op y Mant'!T12</f>
        <v>37091019.3629863</v>
      </c>
      <c r="W12" s="251">
        <f t="shared" si="1"/>
        <v>450000</v>
      </c>
      <c r="X12" s="640">
        <f t="shared" ref="X12:X48" si="2">+X11</f>
        <v>26459912.6346</v>
      </c>
      <c r="Y12" s="653">
        <f t="shared" ref="Y12:Y48" si="3">+SUM(Q12:X12)</f>
        <v>226907406.686661</v>
      </c>
    </row>
    <row r="13" ht="30" spans="2:25">
      <c r="B13" s="187" t="s">
        <v>535</v>
      </c>
      <c r="C13" s="188" t="s">
        <v>527</v>
      </c>
      <c r="D13" s="189">
        <v>4</v>
      </c>
      <c r="E13" s="637">
        <v>14025</v>
      </c>
      <c r="F13" s="637">
        <f t="shared" si="0"/>
        <v>56100</v>
      </c>
      <c r="I13" s="188" t="s">
        <v>536</v>
      </c>
      <c r="J13" s="223">
        <f>+F67</f>
        <v>532276.8</v>
      </c>
      <c r="K13" s="653">
        <f t="shared" ref="K13:K14" si="4">+J13*12</f>
        <v>6387321.6</v>
      </c>
      <c r="N13" s="189">
        <v>2028</v>
      </c>
      <c r="O13" s="189"/>
      <c r="P13" s="189"/>
      <c r="Q13" s="640">
        <f>+'[2]V2. Costos Op y Mant'!O13</f>
        <v>95323624.4790142</v>
      </c>
      <c r="R13" s="640">
        <f>+'[2]V2. Costos Op y Mant'!P13</f>
        <v>20078322.6918104</v>
      </c>
      <c r="S13" s="223">
        <f>+'[2]V2. Costos Op y Mant'!Q13</f>
        <v>12369770.913825</v>
      </c>
      <c r="T13" s="223">
        <f>+'[2]V2. Costos Op y Mant'!R13</f>
        <v>3001961.62712943</v>
      </c>
      <c r="U13" s="223">
        <f>+'[2]V2. Costos Op y Mant'!S13</f>
        <v>32289776.026</v>
      </c>
      <c r="V13" s="223">
        <f>+'[2]V2. Costos Op y Mant'!T13</f>
        <v>37346955.8980044</v>
      </c>
      <c r="W13" s="251">
        <f t="shared" si="1"/>
        <v>450000</v>
      </c>
      <c r="X13" s="640">
        <f t="shared" si="2"/>
        <v>26459912.6346</v>
      </c>
      <c r="Y13" s="653">
        <f t="shared" si="3"/>
        <v>227320324.270383</v>
      </c>
    </row>
    <row r="14" spans="2:25">
      <c r="B14" s="187" t="s">
        <v>537</v>
      </c>
      <c r="C14" s="188" t="s">
        <v>527</v>
      </c>
      <c r="D14" s="189">
        <v>1</v>
      </c>
      <c r="E14" s="637">
        <v>18125</v>
      </c>
      <c r="F14" s="637">
        <f t="shared" si="0"/>
        <v>18125</v>
      </c>
      <c r="I14" s="188" t="s">
        <v>538</v>
      </c>
      <c r="J14" s="223">
        <f>+F69</f>
        <v>88741.264</v>
      </c>
      <c r="K14" s="653">
        <f t="shared" si="4"/>
        <v>1064895.168</v>
      </c>
      <c r="N14" s="189">
        <v>2029</v>
      </c>
      <c r="O14" s="189"/>
      <c r="P14" s="189"/>
      <c r="Q14" s="640">
        <f>+'[2]V2. Costos Op y Mant'!O14</f>
        <v>95323624.4790142</v>
      </c>
      <c r="R14" s="640">
        <f>+'[2]V2. Costos Op y Mant'!P14</f>
        <v>20208823.14632</v>
      </c>
      <c r="S14" s="223">
        <f>+'[2]V2. Costos Op y Mant'!Q14</f>
        <v>12369770.913825</v>
      </c>
      <c r="T14" s="223">
        <f>+'[2]V2. Costos Op y Mant'!R14</f>
        <v>3020875.80482027</v>
      </c>
      <c r="U14" s="223">
        <f>+'[2]V2. Costos Op y Mant'!S14</f>
        <v>32289776.026</v>
      </c>
      <c r="V14" s="223">
        <f>+'[2]V2. Costos Op y Mant'!T14</f>
        <v>37589695.034836</v>
      </c>
      <c r="W14" s="251">
        <f t="shared" si="1"/>
        <v>450000</v>
      </c>
      <c r="X14" s="640">
        <f t="shared" si="2"/>
        <v>26459912.6346</v>
      </c>
      <c r="Y14" s="653">
        <f t="shared" si="3"/>
        <v>227712478.039415</v>
      </c>
    </row>
    <row r="15" spans="2:25">
      <c r="B15" s="187" t="s">
        <v>539</v>
      </c>
      <c r="C15" s="188" t="s">
        <v>527</v>
      </c>
      <c r="D15" s="189">
        <v>2</v>
      </c>
      <c r="E15" s="637">
        <v>15675</v>
      </c>
      <c r="F15" s="637">
        <f t="shared" si="0"/>
        <v>31350</v>
      </c>
      <c r="I15" s="181" t="s">
        <v>170</v>
      </c>
      <c r="J15" s="230">
        <f>+SUM(J8:J14)</f>
        <v>2368525.68828079</v>
      </c>
      <c r="K15" s="230">
        <f>+SUM(K8:K14)</f>
        <v>28422308.2593695</v>
      </c>
      <c r="N15" s="189">
        <v>2030</v>
      </c>
      <c r="O15" s="189"/>
      <c r="P15" s="189"/>
      <c r="Q15" s="640">
        <f>+'[2]V2. Costos Op y Mant'!O15</f>
        <v>95323624.4790142</v>
      </c>
      <c r="R15" s="640">
        <f>+'[2]V2. Costos Op y Mant'!P15</f>
        <v>20336150.9803795</v>
      </c>
      <c r="S15" s="223">
        <f>+'[2]V2. Costos Op y Mant'!Q15</f>
        <v>12369770.913825</v>
      </c>
      <c r="T15" s="223">
        <f>+'[2]V2. Costos Op y Mant'!R15</f>
        <v>3038696.0335447</v>
      </c>
      <c r="U15" s="223">
        <f>+'[2]V2. Costos Op y Mant'!S15</f>
        <v>32289776.026</v>
      </c>
      <c r="V15" s="223">
        <f>+'[2]V2. Costos Op y Mant'!T15</f>
        <v>37826532.8960559</v>
      </c>
      <c r="W15" s="251">
        <f t="shared" si="1"/>
        <v>450000</v>
      </c>
      <c r="X15" s="640">
        <f t="shared" si="2"/>
        <v>26459912.6346</v>
      </c>
      <c r="Y15" s="653">
        <f t="shared" si="3"/>
        <v>228094463.963419</v>
      </c>
    </row>
    <row r="16" spans="2:25">
      <c r="B16" s="187" t="s">
        <v>540</v>
      </c>
      <c r="C16" s="188" t="s">
        <v>527</v>
      </c>
      <c r="D16" s="189">
        <v>2</v>
      </c>
      <c r="E16" s="637">
        <v>11550</v>
      </c>
      <c r="F16" s="637">
        <f t="shared" si="0"/>
        <v>23100</v>
      </c>
      <c r="I16" s="654"/>
      <c r="J16" s="231"/>
      <c r="K16" s="655"/>
      <c r="N16" s="189">
        <v>2031</v>
      </c>
      <c r="O16" s="189"/>
      <c r="P16" s="189"/>
      <c r="Q16" s="640">
        <f>+'[2]V2. Costos Op y Mant'!O16</f>
        <v>95323624.4790142</v>
      </c>
      <c r="R16" s="640">
        <f>+'[2]V2. Costos Op y Mant'!P16</f>
        <v>20456114.4893945</v>
      </c>
      <c r="S16" s="223">
        <f>+'[2]V2. Costos Op y Mant'!Q16</f>
        <v>12369770.913825</v>
      </c>
      <c r="T16" s="223">
        <f>+'[2]V2. Costos Op y Mant'!R16</f>
        <v>3055679.27283888</v>
      </c>
      <c r="U16" s="223">
        <f>+'[2]V2. Costos Op y Mant'!S16</f>
        <v>32289776.026</v>
      </c>
      <c r="V16" s="223">
        <f>+'[2]V2. Costos Op y Mant'!T16</f>
        <v>38049672.644795</v>
      </c>
      <c r="W16" s="251">
        <f t="shared" si="1"/>
        <v>450000</v>
      </c>
      <c r="X16" s="640">
        <f t="shared" si="2"/>
        <v>26459912.6346</v>
      </c>
      <c r="Y16" s="653">
        <f t="shared" si="3"/>
        <v>228454550.460468</v>
      </c>
    </row>
    <row r="17" ht="30" spans="2:25">
      <c r="B17" s="187" t="s">
        <v>541</v>
      </c>
      <c r="C17" s="188" t="s">
        <v>527</v>
      </c>
      <c r="D17" s="189">
        <v>1</v>
      </c>
      <c r="E17" s="637">
        <v>26100</v>
      </c>
      <c r="F17" s="637">
        <f t="shared" si="0"/>
        <v>26100</v>
      </c>
      <c r="L17" s="229"/>
      <c r="N17" s="189">
        <v>2032</v>
      </c>
      <c r="O17" s="189"/>
      <c r="P17" s="189"/>
      <c r="Q17" s="640">
        <f>+'[2]V2. Costos Op y Mant'!O17</f>
        <v>95323624.4790142</v>
      </c>
      <c r="R17" s="640">
        <f>+'[2]V2. Costos Op y Mant'!P17</f>
        <v>20570443.4922192</v>
      </c>
      <c r="S17" s="223">
        <f>+'[2]V2. Costos Op y Mant'!Q17</f>
        <v>12369770.913825</v>
      </c>
      <c r="T17" s="223">
        <f>+'[2]V2. Costos Op y Mant'!R17</f>
        <v>3071810.05437797</v>
      </c>
      <c r="U17" s="223">
        <f>+'[2]V2. Costos Op y Mant'!S17</f>
        <v>32289776.026</v>
      </c>
      <c r="V17" s="223">
        <f>+'[2]V2. Costos Op y Mant'!T17</f>
        <v>38262331.8540276</v>
      </c>
      <c r="W17" s="251">
        <f t="shared" si="1"/>
        <v>450000</v>
      </c>
      <c r="X17" s="640">
        <f t="shared" si="2"/>
        <v>26459912.6346</v>
      </c>
      <c r="Y17" s="653">
        <f t="shared" si="3"/>
        <v>228797669.454064</v>
      </c>
    </row>
    <row r="18" spans="2:25">
      <c r="B18" s="187" t="s">
        <v>542</v>
      </c>
      <c r="C18" s="188" t="s">
        <v>527</v>
      </c>
      <c r="D18" s="189">
        <v>1</v>
      </c>
      <c r="E18" s="637">
        <v>26100</v>
      </c>
      <c r="F18" s="637">
        <f t="shared" si="0"/>
        <v>26100</v>
      </c>
      <c r="N18" s="189">
        <v>2033</v>
      </c>
      <c r="O18" s="189"/>
      <c r="P18" s="189"/>
      <c r="Q18" s="640">
        <f>+'[2]V2. Costos Op y Mant'!O18</f>
        <v>95323624.4790142</v>
      </c>
      <c r="R18" s="640">
        <f>+'[2]V2. Costos Op y Mant'!P18</f>
        <v>20679033.8580618</v>
      </c>
      <c r="S18" s="223">
        <f>+'[2]V2. Costos Op y Mant'!Q18</f>
        <v>12369770.913825</v>
      </c>
      <c r="T18" s="223">
        <f>+'[2]V2. Costos Op y Mant'!R18</f>
        <v>3087073.61147213</v>
      </c>
      <c r="U18" s="223">
        <f>+'[2]V2. Costos Op y Mant'!S18</f>
        <v>32289776.026</v>
      </c>
      <c r="V18" s="223">
        <f>+'[2]V2. Costos Op y Mant'!T18</f>
        <v>38464316.8338649</v>
      </c>
      <c r="W18" s="251">
        <f t="shared" si="1"/>
        <v>450000</v>
      </c>
      <c r="X18" s="640">
        <f t="shared" si="2"/>
        <v>26459912.6346</v>
      </c>
      <c r="Y18" s="653">
        <f t="shared" si="3"/>
        <v>229123508.356838</v>
      </c>
    </row>
    <row r="19" spans="2:25">
      <c r="B19" s="191" t="s">
        <v>543</v>
      </c>
      <c r="C19" s="192"/>
      <c r="D19" s="192"/>
      <c r="E19" s="638">
        <f>+SUM(E9:E18)</f>
        <v>208550</v>
      </c>
      <c r="F19" s="638">
        <f>+SUM(F9:F18)</f>
        <v>345475</v>
      </c>
      <c r="I19" t="s">
        <v>544</v>
      </c>
      <c r="N19" s="189">
        <v>2034</v>
      </c>
      <c r="O19" s="189"/>
      <c r="P19" s="189"/>
      <c r="Q19" s="640">
        <f>+'[2]V2. Costos Op y Mant'!O19</f>
        <v>95323624.4790142</v>
      </c>
      <c r="R19" s="640">
        <f>+'[2]V2. Costos Op y Mant'!P19</f>
        <v>20781786.179448</v>
      </c>
      <c r="S19" s="223">
        <f>+'[2]V2. Costos Op y Mant'!Q19</f>
        <v>12369770.913825</v>
      </c>
      <c r="T19" s="223">
        <f>+'[2]V2. Costos Op y Mant'!R19</f>
        <v>3101455.90151841</v>
      </c>
      <c r="U19" s="223">
        <f>+'[2]V2. Costos Op y Mant'!S19</f>
        <v>32289776.026</v>
      </c>
      <c r="V19" s="223">
        <f>+'[2]V2. Costos Op y Mant'!T19</f>
        <v>38655442.6800886</v>
      </c>
      <c r="W19" s="251">
        <f t="shared" si="1"/>
        <v>450000</v>
      </c>
      <c r="X19" s="640">
        <f t="shared" si="2"/>
        <v>26459912.6346</v>
      </c>
      <c r="Y19" s="653">
        <f t="shared" si="3"/>
        <v>229431768.814494</v>
      </c>
    </row>
    <row r="20" spans="2:25">
      <c r="B20" s="184" t="s">
        <v>545</v>
      </c>
      <c r="C20" s="185"/>
      <c r="D20" s="185"/>
      <c r="E20" s="635"/>
      <c r="F20" s="636"/>
      <c r="I20" s="180" t="s">
        <v>10</v>
      </c>
      <c r="J20" s="180" t="s">
        <v>517</v>
      </c>
      <c r="K20" s="180" t="s">
        <v>518</v>
      </c>
      <c r="N20" s="189">
        <v>2035</v>
      </c>
      <c r="O20" s="189"/>
      <c r="P20" s="189"/>
      <c r="Q20" s="640">
        <f>+'[2]V2. Costos Op y Mant'!O20</f>
        <v>95323624.4790142</v>
      </c>
      <c r="R20" s="640">
        <f>+'[2]V2. Costos Op y Mant'!P20</f>
        <v>20878605.923364</v>
      </c>
      <c r="S20" s="223">
        <f>+'[2]V2. Costos Op y Mant'!Q20</f>
        <v>12369770.913825</v>
      </c>
      <c r="T20" s="223">
        <f>+'[2]V2. Costos Op y Mant'!R20</f>
        <v>3114943.62746266</v>
      </c>
      <c r="U20" s="223">
        <f>+'[2]V2. Costos Op y Mant'!S20</f>
        <v>32289776.026</v>
      </c>
      <c r="V20" s="223">
        <f>+'[2]V2. Costos Op y Mant'!T20</f>
        <v>38835533.5552872</v>
      </c>
      <c r="W20" s="251">
        <f t="shared" si="1"/>
        <v>450000</v>
      </c>
      <c r="X20" s="640">
        <f t="shared" si="2"/>
        <v>26459912.6346</v>
      </c>
      <c r="Y20" s="653">
        <f t="shared" si="3"/>
        <v>229722167.159553</v>
      </c>
    </row>
    <row r="21" spans="2:25">
      <c r="B21" s="194" t="s">
        <v>546</v>
      </c>
      <c r="C21" s="195" t="s">
        <v>527</v>
      </c>
      <c r="D21" s="189">
        <v>1</v>
      </c>
      <c r="E21" s="639">
        <v>26100</v>
      </c>
      <c r="F21" s="639">
        <f>+E21*D21</f>
        <v>26100</v>
      </c>
      <c r="I21" s="195" t="s">
        <v>523</v>
      </c>
      <c r="J21" s="210">
        <f>+F83+F87</f>
        <v>155050</v>
      </c>
      <c r="K21" s="341">
        <f>+J21*12</f>
        <v>1860600</v>
      </c>
      <c r="N21" s="189">
        <v>2036</v>
      </c>
      <c r="O21" s="189"/>
      <c r="P21" s="189"/>
      <c r="Q21" s="640">
        <f>+'[2]V2. Costos Op y Mant'!O21</f>
        <v>95323624.4790142</v>
      </c>
      <c r="R21" s="640">
        <f>+'[2]V2. Costos Op y Mant'!P21</f>
        <v>20969403.5757357</v>
      </c>
      <c r="S21" s="223">
        <f>+'[2]V2. Costos Op y Mant'!Q21</f>
        <v>12369770.913825</v>
      </c>
      <c r="T21" s="223">
        <f>+'[2]V2. Costos Op y Mant'!R21</f>
        <v>3127524.25822558</v>
      </c>
      <c r="U21" s="223">
        <f>+'[2]V2. Costos Op y Mant'!S21</f>
        <v>32289776.026</v>
      </c>
      <c r="V21" s="223">
        <f>+'[2]V2. Costos Op y Mant'!T21</f>
        <v>39004422.9575953</v>
      </c>
      <c r="W21" s="251">
        <f t="shared" si="1"/>
        <v>450000</v>
      </c>
      <c r="X21" s="640">
        <f t="shared" si="2"/>
        <v>26459912.6346</v>
      </c>
      <c r="Y21" s="653">
        <f t="shared" si="3"/>
        <v>229994434.844996</v>
      </c>
    </row>
    <row r="22" spans="2:25">
      <c r="B22" s="194" t="s">
        <v>547</v>
      </c>
      <c r="C22" s="195" t="s">
        <v>527</v>
      </c>
      <c r="D22" s="189">
        <v>1</v>
      </c>
      <c r="E22" s="639">
        <v>20625</v>
      </c>
      <c r="F22" s="639">
        <f t="shared" ref="F22:F28" si="5">+E22*D22</f>
        <v>20625</v>
      </c>
      <c r="I22" s="195" t="s">
        <v>528</v>
      </c>
      <c r="J22" s="210">
        <f>+F96</f>
        <v>39750</v>
      </c>
      <c r="K22" s="341">
        <f>+J22*12</f>
        <v>477000</v>
      </c>
      <c r="N22" s="189">
        <v>2037</v>
      </c>
      <c r="O22" s="189"/>
      <c r="P22" s="189"/>
      <c r="Q22" s="640">
        <f>+'[2]V2. Costos Op y Mant'!O22</f>
        <v>95323624.4790142</v>
      </c>
      <c r="R22" s="640">
        <f>+'[2]V2. Costos Op y Mant'!P22</f>
        <v>21054094.7789341</v>
      </c>
      <c r="S22" s="223">
        <f>+'[2]V2. Costos Op y Mant'!Q22</f>
        <v>12369770.913825</v>
      </c>
      <c r="T22" s="223">
        <f>+'[2]V2. Costos Op y Mant'!R22</f>
        <v>3139186.04804927</v>
      </c>
      <c r="U22" s="223">
        <f>+'[2]V2. Costos Op y Mant'!S22</f>
        <v>32289776.026</v>
      </c>
      <c r="V22" s="223">
        <f>+'[2]V2. Costos Op y Mant'!T22</f>
        <v>39161953.9764633</v>
      </c>
      <c r="W22" s="251">
        <f t="shared" si="1"/>
        <v>450000</v>
      </c>
      <c r="X22" s="640">
        <f t="shared" si="2"/>
        <v>26459912.6346</v>
      </c>
      <c r="Y22" s="653">
        <f t="shared" si="3"/>
        <v>230248318.856886</v>
      </c>
    </row>
    <row r="23" spans="2:25">
      <c r="B23" s="194" t="s">
        <v>548</v>
      </c>
      <c r="C23" s="195" t="s">
        <v>527</v>
      </c>
      <c r="D23" s="189">
        <v>1</v>
      </c>
      <c r="E23" s="639">
        <v>20625</v>
      </c>
      <c r="F23" s="639">
        <f t="shared" si="5"/>
        <v>20625</v>
      </c>
      <c r="I23" s="195" t="s">
        <v>530</v>
      </c>
      <c r="J23" s="210">
        <f>+F103</f>
        <v>6409.125</v>
      </c>
      <c r="K23" s="341">
        <f>+J23*12</f>
        <v>76909.5</v>
      </c>
      <c r="N23" s="189">
        <v>2038</v>
      </c>
      <c r="O23" s="189"/>
      <c r="P23" s="189"/>
      <c r="Q23" s="640">
        <f>+'[2]V2. Costos Op y Mant'!O23</f>
        <v>95323624.4790142</v>
      </c>
      <c r="R23" s="640">
        <f>+'[2]V2. Costos Op y Mant'!P23</f>
        <v>21132600.4620137</v>
      </c>
      <c r="S23" s="223">
        <f>+'[2]V2. Costos Op y Mant'!Q23</f>
        <v>12369770.913825</v>
      </c>
      <c r="T23" s="223">
        <f>+'[2]V2. Costos Op y Mant'!R23</f>
        <v>3149918.05472242</v>
      </c>
      <c r="U23" s="223">
        <f>+'[2]V2. Costos Op y Mant'!S23</f>
        <v>32289776.026</v>
      </c>
      <c r="V23" s="223">
        <f>+'[2]V2. Costos Op y Mant'!T23</f>
        <v>39307979.5349084</v>
      </c>
      <c r="W23" s="251">
        <f t="shared" si="1"/>
        <v>450000</v>
      </c>
      <c r="X23" s="640">
        <f t="shared" si="2"/>
        <v>26459912.6346</v>
      </c>
      <c r="Y23" s="653">
        <f t="shared" si="3"/>
        <v>230483582.105084</v>
      </c>
    </row>
    <row r="24" spans="2:25">
      <c r="B24" s="194" t="s">
        <v>549</v>
      </c>
      <c r="C24" s="195" t="s">
        <v>527</v>
      </c>
      <c r="D24" s="189">
        <v>1</v>
      </c>
      <c r="E24" s="639">
        <v>20625</v>
      </c>
      <c r="F24" s="639">
        <f t="shared" si="5"/>
        <v>20625</v>
      </c>
      <c r="I24" s="195" t="s">
        <v>532</v>
      </c>
      <c r="J24" s="210">
        <f>+F106</f>
        <v>7500</v>
      </c>
      <c r="K24" s="341">
        <f>+J24*12</f>
        <v>90000</v>
      </c>
      <c r="N24" s="189">
        <v>2039</v>
      </c>
      <c r="O24" s="189"/>
      <c r="P24" s="189"/>
      <c r="Q24" s="640">
        <f>+'[2]V2. Costos Op y Mant'!O24</f>
        <v>95323624.4790142</v>
      </c>
      <c r="R24" s="640">
        <f>+'[2]V2. Costos Op y Mant'!P24</f>
        <v>21204846.9634022</v>
      </c>
      <c r="S24" s="223">
        <f>+'[2]V2. Costos Op y Mant'!Q24</f>
        <v>12369770.913825</v>
      </c>
      <c r="T24" s="223">
        <f>+'[2]V2. Costos Op y Mant'!R24</f>
        <v>3159710.15664487</v>
      </c>
      <c r="U24" s="223">
        <f>+'[2]V2. Costos Op y Mant'!S24</f>
        <v>32289776.026</v>
      </c>
      <c r="V24" s="223">
        <f>+'[2]V2. Costos Op y Mant'!T24</f>
        <v>39442362.6177266</v>
      </c>
      <c r="W24" s="251">
        <f t="shared" si="1"/>
        <v>450000</v>
      </c>
      <c r="X24" s="640">
        <f t="shared" si="2"/>
        <v>26459912.6346</v>
      </c>
      <c r="Y24" s="653">
        <f t="shared" si="3"/>
        <v>230700003.791213</v>
      </c>
    </row>
    <row r="25" spans="2:25">
      <c r="B25" s="194" t="s">
        <v>550</v>
      </c>
      <c r="C25" s="195" t="s">
        <v>527</v>
      </c>
      <c r="D25" s="189">
        <v>3</v>
      </c>
      <c r="E25" s="639">
        <v>13200</v>
      </c>
      <c r="F25" s="639">
        <f t="shared" si="5"/>
        <v>39600</v>
      </c>
      <c r="I25" s="195" t="s">
        <v>551</v>
      </c>
      <c r="J25" s="210">
        <f>+F107</f>
        <v>1311613.9433869</v>
      </c>
      <c r="K25" s="341">
        <f>+J25*12</f>
        <v>15739367.3206428</v>
      </c>
      <c r="N25" s="189">
        <v>2040</v>
      </c>
      <c r="O25" s="189"/>
      <c r="P25" s="189"/>
      <c r="Q25" s="640">
        <f>+'[2]V2. Costos Op y Mant'!O25</f>
        <v>95323624.4790142</v>
      </c>
      <c r="R25" s="640">
        <f>+'[2]V2. Costos Op y Mant'!P25</f>
        <v>21270766.1457773</v>
      </c>
      <c r="S25" s="223">
        <f>+'[2]V2. Costos Op y Mant'!Q25</f>
        <v>12369770.913825</v>
      </c>
      <c r="T25" s="223">
        <f>+'[2]V2. Costos Op y Mant'!R25</f>
        <v>3168553.06869418</v>
      </c>
      <c r="U25" s="223">
        <f>+'[2]V2. Costos Op y Mant'!S25</f>
        <v>32289776.026</v>
      </c>
      <c r="V25" s="223">
        <f>+'[2]V2. Costos Op y Mant'!T25</f>
        <v>39564976.4851687</v>
      </c>
      <c r="W25" s="251">
        <f t="shared" si="1"/>
        <v>450000</v>
      </c>
      <c r="X25" s="640">
        <f t="shared" si="2"/>
        <v>26459912.6346</v>
      </c>
      <c r="Y25" s="653">
        <f t="shared" si="3"/>
        <v>230897379.753079</v>
      </c>
    </row>
    <row r="26" spans="2:25">
      <c r="B26" s="194" t="s">
        <v>552</v>
      </c>
      <c r="C26" s="195" t="s">
        <v>527</v>
      </c>
      <c r="D26" s="189">
        <v>2</v>
      </c>
      <c r="E26" s="639">
        <v>10725</v>
      </c>
      <c r="F26" s="639">
        <f t="shared" si="5"/>
        <v>21450</v>
      </c>
      <c r="I26" s="195" t="s">
        <v>553</v>
      </c>
      <c r="J26" s="210">
        <f>+F115</f>
        <v>1560982.77783594</v>
      </c>
      <c r="K26" s="341">
        <f t="shared" ref="K26:K28" si="6">+J26*12</f>
        <v>18731793.3340313</v>
      </c>
      <c r="N26" s="189">
        <v>2041</v>
      </c>
      <c r="O26" s="189"/>
      <c r="P26" s="189"/>
      <c r="Q26" s="640">
        <f>+'[2]V2. Costos Op y Mant'!O26</f>
        <v>95323624.4790142</v>
      </c>
      <c r="R26" s="640">
        <f>+'[2]V2. Costos Op y Mant'!P26</f>
        <v>21330295.5028777</v>
      </c>
      <c r="S26" s="223">
        <f>+'[2]V2. Costos Op y Mant'!Q26</f>
        <v>12369770.913825</v>
      </c>
      <c r="T26" s="223">
        <f>+'[2]V2. Costos Op y Mant'!R26</f>
        <v>3176438.35685964</v>
      </c>
      <c r="U26" s="223">
        <f>+'[2]V2. Costos Op y Mant'!S26</f>
        <v>32289776.026</v>
      </c>
      <c r="V26" s="223">
        <f>+'[2]V2. Costos Op y Mant'!T26</f>
        <v>39675704.8716176</v>
      </c>
      <c r="W26" s="251">
        <f t="shared" si="1"/>
        <v>450000</v>
      </c>
      <c r="X26" s="640">
        <f t="shared" si="2"/>
        <v>26459912.6346</v>
      </c>
      <c r="Y26" s="653">
        <f t="shared" si="3"/>
        <v>231075522.784794</v>
      </c>
    </row>
    <row r="27" spans="2:25">
      <c r="B27" s="194" t="s">
        <v>554</v>
      </c>
      <c r="C27" s="195" t="s">
        <v>527</v>
      </c>
      <c r="D27" s="189">
        <v>2</v>
      </c>
      <c r="E27" s="639">
        <v>10725</v>
      </c>
      <c r="F27" s="639">
        <f t="shared" si="5"/>
        <v>21450</v>
      </c>
      <c r="I27" s="195" t="s">
        <v>555</v>
      </c>
      <c r="J27" s="210">
        <f>+F126</f>
        <v>52421.0574053571</v>
      </c>
      <c r="K27" s="341">
        <f t="shared" si="6"/>
        <v>629052.688864286</v>
      </c>
      <c r="N27" s="189">
        <v>2042</v>
      </c>
      <c r="O27" s="189"/>
      <c r="P27" s="189"/>
      <c r="Q27" s="640">
        <f>+'[2]V2. Costos Op y Mant'!O27</f>
        <v>95323624.4790142</v>
      </c>
      <c r="R27" s="640">
        <f>+'[2]V2. Costos Op y Mant'!P27</f>
        <v>21383378.258018</v>
      </c>
      <c r="S27" s="223">
        <f>+'[2]V2. Costos Op y Mant'!Q27</f>
        <v>12369770.913825</v>
      </c>
      <c r="T27" s="223">
        <f>+'[2]V2. Costos Op y Mant'!R27</f>
        <v>3183358.45161143</v>
      </c>
      <c r="U27" s="223">
        <f>+'[2]V2. Costos Op y Mant'!S27</f>
        <v>32289776.026</v>
      </c>
      <c r="V27" s="223">
        <f>+'[2]V2. Costos Op y Mant'!T27</f>
        <v>39774442.1688311</v>
      </c>
      <c r="W27" s="251">
        <f t="shared" si="1"/>
        <v>450000</v>
      </c>
      <c r="X27" s="640">
        <f t="shared" si="2"/>
        <v>26459912.6346</v>
      </c>
      <c r="Y27" s="653">
        <f t="shared" si="3"/>
        <v>231234262.9319</v>
      </c>
    </row>
    <row r="28" spans="2:25">
      <c r="B28" s="194" t="s">
        <v>556</v>
      </c>
      <c r="C28" s="195" t="s">
        <v>527</v>
      </c>
      <c r="D28" s="189">
        <v>1</v>
      </c>
      <c r="E28" s="639">
        <v>20625</v>
      </c>
      <c r="F28" s="639">
        <f t="shared" si="5"/>
        <v>20625</v>
      </c>
      <c r="I28" s="233" t="s">
        <v>557</v>
      </c>
      <c r="J28" s="234">
        <f>+F129</f>
        <v>24000</v>
      </c>
      <c r="K28" s="656">
        <f t="shared" si="6"/>
        <v>288000</v>
      </c>
      <c r="N28" s="189">
        <v>2043</v>
      </c>
      <c r="O28" s="189"/>
      <c r="P28" s="189"/>
      <c r="Q28" s="640">
        <f>+'[2]V2. Costos Op y Mant'!O28</f>
        <v>95323624.4790142</v>
      </c>
      <c r="R28" s="640">
        <f>+'[2]V2. Costos Op y Mant'!P28</f>
        <v>21429963.4540881</v>
      </c>
      <c r="S28" s="223">
        <f>+'[2]V2. Costos Op y Mant'!Q28</f>
        <v>12369770.913825</v>
      </c>
      <c r="T28" s="223">
        <f>+'[2]V2. Costos Op y Mant'!R28</f>
        <v>3189306.65997539</v>
      </c>
      <c r="U28" s="223">
        <f>+'[2]V2. Costos Op y Mant'!S28</f>
        <v>32289776.026</v>
      </c>
      <c r="V28" s="223">
        <f>+'[2]V2. Costos Op y Mant'!T28</f>
        <v>39861093.5933467</v>
      </c>
      <c r="W28" s="251">
        <f t="shared" si="1"/>
        <v>450000</v>
      </c>
      <c r="X28" s="640">
        <f t="shared" si="2"/>
        <v>26459912.6346</v>
      </c>
      <c r="Y28" s="653">
        <f t="shared" si="3"/>
        <v>231373447.760849</v>
      </c>
    </row>
    <row r="29" spans="2:25">
      <c r="B29" s="191" t="s">
        <v>558</v>
      </c>
      <c r="C29" s="192"/>
      <c r="D29" s="192"/>
      <c r="E29" s="638">
        <f>+SUM(E21:E28)</f>
        <v>143250</v>
      </c>
      <c r="F29" s="638">
        <f>+SUM(F21:F28)</f>
        <v>191100</v>
      </c>
      <c r="I29" s="235" t="s">
        <v>170</v>
      </c>
      <c r="J29" s="236">
        <f>+SUM(J21:J28)</f>
        <v>3157726.90362819</v>
      </c>
      <c r="K29" s="236">
        <f>+SUM(K21:K28)</f>
        <v>37892722.8435383</v>
      </c>
      <c r="M29" s="229"/>
      <c r="N29" s="189">
        <v>2044</v>
      </c>
      <c r="O29" s="189"/>
      <c r="P29" s="189"/>
      <c r="Q29" s="640">
        <f>+'[2]V2. Costos Op y Mant'!O29</f>
        <v>95323624.4790142</v>
      </c>
      <c r="R29" s="640">
        <f>+'[2]V2. Costos Op y Mant'!P29</f>
        <v>21470006.0348387</v>
      </c>
      <c r="S29" s="223">
        <f>+'[2]V2. Costos Op y Mant'!Q29</f>
        <v>12369770.913825</v>
      </c>
      <c r="T29" s="223">
        <f>+'[2]V2. Costos Op y Mant'!R29</f>
        <v>3194277.17628649</v>
      </c>
      <c r="U29" s="223">
        <f>+'[2]V2. Costos Op y Mant'!S29</f>
        <v>32289776.026</v>
      </c>
      <c r="V29" s="223">
        <f>+'[2]V2. Costos Op y Mant'!T29</f>
        <v>39935575.3376782</v>
      </c>
      <c r="W29" s="251">
        <f t="shared" si="1"/>
        <v>450000</v>
      </c>
      <c r="X29" s="640">
        <f t="shared" si="2"/>
        <v>26459912.6346</v>
      </c>
      <c r="Y29" s="653">
        <f t="shared" si="3"/>
        <v>231492942.602243</v>
      </c>
    </row>
    <row r="30" spans="2:25">
      <c r="B30" s="184" t="s">
        <v>559</v>
      </c>
      <c r="C30" s="185"/>
      <c r="D30" s="185"/>
      <c r="E30" s="635"/>
      <c r="F30" s="636"/>
      <c r="N30" s="189">
        <v>2045</v>
      </c>
      <c r="O30" s="189"/>
      <c r="P30" s="189"/>
      <c r="Q30" s="640">
        <f>+'[2]V2. Costos Op y Mant'!O30</f>
        <v>95323624.4790142</v>
      </c>
      <c r="R30" s="640">
        <f>+'[2]V2. Costos Op y Mant'!P30</f>
        <v>21503466.9172728</v>
      </c>
      <c r="S30" s="223">
        <f>+'[2]V2. Costos Op y Mant'!Q30</f>
        <v>12369770.913825</v>
      </c>
      <c r="T30" s="223">
        <f>+'[2]V2. Costos Op y Mant'!R30</f>
        <v>3198265.09159694</v>
      </c>
      <c r="U30" s="223">
        <f>+'[2]V2. Costos Op y Mant'!S30</f>
        <v>32289776.026</v>
      </c>
      <c r="V30" s="223">
        <f>+'[2]V2. Costos Op y Mant'!T30</f>
        <v>39997814.7049678</v>
      </c>
      <c r="W30" s="251">
        <f t="shared" si="1"/>
        <v>450000</v>
      </c>
      <c r="X30" s="640">
        <f t="shared" si="2"/>
        <v>26459912.6346</v>
      </c>
      <c r="Y30" s="653">
        <f t="shared" si="3"/>
        <v>231592630.767277</v>
      </c>
    </row>
    <row r="31" spans="2:25">
      <c r="B31" s="187" t="s">
        <v>560</v>
      </c>
      <c r="C31" s="189" t="s">
        <v>561</v>
      </c>
      <c r="D31" s="189">
        <v>1</v>
      </c>
      <c r="E31" s="639">
        <v>5000</v>
      </c>
      <c r="F31" s="639">
        <f>+E31*D31</f>
        <v>5000</v>
      </c>
      <c r="N31" s="189">
        <v>2046</v>
      </c>
      <c r="O31" s="189"/>
      <c r="P31" s="189"/>
      <c r="Q31" s="640">
        <f>+'[2]V2. Costos Op y Mant'!O31</f>
        <v>95323624.4790142</v>
      </c>
      <c r="R31" s="640">
        <f>+'[2]V2. Costos Op y Mant'!P31</f>
        <v>21530313.0549792</v>
      </c>
      <c r="S31" s="223">
        <f>+'[2]V2. Costos Op y Mant'!Q31</f>
        <v>12369770.913825</v>
      </c>
      <c r="T31" s="223">
        <f>+'[2]V2. Costos Op y Mant'!R31</f>
        <v>3201266.40171755</v>
      </c>
      <c r="U31" s="223">
        <f>+'[2]V2. Costos Op y Mant'!S31</f>
        <v>32289776.026</v>
      </c>
      <c r="V31" s="223">
        <f>+'[2]V2. Costos Op y Mant'!T31</f>
        <v>40047750.2267912</v>
      </c>
      <c r="W31" s="251">
        <f t="shared" si="1"/>
        <v>450000</v>
      </c>
      <c r="X31" s="640">
        <f t="shared" si="2"/>
        <v>26459912.6346</v>
      </c>
      <c r="Y31" s="653">
        <f t="shared" si="3"/>
        <v>231672413.736927</v>
      </c>
    </row>
    <row r="32" spans="2:25">
      <c r="B32" s="187" t="s">
        <v>562</v>
      </c>
      <c r="C32" s="189" t="s">
        <v>561</v>
      </c>
      <c r="D32" s="189">
        <v>1</v>
      </c>
      <c r="E32" s="639">
        <v>7500</v>
      </c>
      <c r="F32" s="639">
        <f t="shared" ref="F32:F37" si="7">+E32*D32</f>
        <v>7500</v>
      </c>
      <c r="I32" t="s">
        <v>563</v>
      </c>
      <c r="N32" s="189">
        <v>2047</v>
      </c>
      <c r="O32" s="189"/>
      <c r="P32" s="189"/>
      <c r="Q32" s="640">
        <f>+'[2]V2. Costos Op y Mant'!O32</f>
        <v>95323624.4790142</v>
      </c>
      <c r="R32" s="640">
        <f>+'[2]V2. Costos Op y Mant'!P32</f>
        <v>21550517.4922667</v>
      </c>
      <c r="S32" s="223">
        <f>+'[2]V2. Costos Op y Mant'!Q32</f>
        <v>12369770.913825</v>
      </c>
      <c r="T32" s="223">
        <f>+'[2]V2. Costos Op y Mant'!R32</f>
        <v>3203278.01387412</v>
      </c>
      <c r="U32" s="223">
        <f>+'[2]V2. Costos Op y Mant'!S32</f>
        <v>32289776.026</v>
      </c>
      <c r="V32" s="223">
        <f>+'[2]V2. Costos Op y Mant'!T32</f>
        <v>40085331.7638498</v>
      </c>
      <c r="W32" s="251">
        <f t="shared" si="1"/>
        <v>450000</v>
      </c>
      <c r="X32" s="640">
        <f t="shared" si="2"/>
        <v>26459912.6346</v>
      </c>
      <c r="Y32" s="653">
        <f t="shared" si="3"/>
        <v>231732211.32343</v>
      </c>
    </row>
    <row r="33" spans="2:25">
      <c r="B33" s="187" t="s">
        <v>564</v>
      </c>
      <c r="C33" s="189" t="s">
        <v>561</v>
      </c>
      <c r="D33" s="189">
        <v>1</v>
      </c>
      <c r="E33" s="639">
        <v>1250</v>
      </c>
      <c r="F33" s="639">
        <f t="shared" si="7"/>
        <v>1250</v>
      </c>
      <c r="I33" s="180" t="s">
        <v>10</v>
      </c>
      <c r="J33" s="180" t="s">
        <v>517</v>
      </c>
      <c r="K33" s="180" t="s">
        <v>518</v>
      </c>
      <c r="N33" s="189">
        <v>2048</v>
      </c>
      <c r="O33" s="189"/>
      <c r="P33" s="189"/>
      <c r="Q33" s="640">
        <f>+'[2]V2. Costos Op y Mant'!O33</f>
        <v>95323624.4790142</v>
      </c>
      <c r="R33" s="640">
        <f>+'[2]V2. Costos Op y Mant'!P33</f>
        <v>21564059.4089733</v>
      </c>
      <c r="S33" s="223">
        <f>+'[2]V2. Costos Op y Mant'!Q33</f>
        <v>12369770.913825</v>
      </c>
      <c r="T33" s="223">
        <f>+'[2]V2. Costos Op y Mant'!R33</f>
        <v>3204297.75196339</v>
      </c>
      <c r="U33" s="223">
        <f>+'[2]V2. Costos Op y Mant'!S33</f>
        <v>32289776.026</v>
      </c>
      <c r="V33" s="223">
        <f>+'[2]V2. Costos Op y Mant'!T33</f>
        <v>40110520.58932</v>
      </c>
      <c r="W33" s="251">
        <f t="shared" si="1"/>
        <v>450000</v>
      </c>
      <c r="X33" s="640">
        <f t="shared" si="2"/>
        <v>26459912.6346</v>
      </c>
      <c r="Y33" s="653">
        <f t="shared" si="3"/>
        <v>231771961.803696</v>
      </c>
    </row>
    <row r="34" ht="30" spans="2:25">
      <c r="B34" s="187" t="s">
        <v>565</v>
      </c>
      <c r="C34" s="189" t="s">
        <v>561</v>
      </c>
      <c r="D34" s="189">
        <v>1</v>
      </c>
      <c r="E34" s="637">
        <v>34500</v>
      </c>
      <c r="F34" s="637">
        <f t="shared" si="7"/>
        <v>34500</v>
      </c>
      <c r="I34" s="188" t="s">
        <v>523</v>
      </c>
      <c r="J34" s="210">
        <f>+F144</f>
        <v>1844500</v>
      </c>
      <c r="K34" s="341">
        <f>+J34*12</f>
        <v>22134000</v>
      </c>
      <c r="N34" s="189">
        <v>2049</v>
      </c>
      <c r="O34" s="189"/>
      <c r="P34" s="189"/>
      <c r="Q34" s="640">
        <f>+'[2]V2. Costos Op y Mant'!O34</f>
        <v>95323624.4790142</v>
      </c>
      <c r="R34" s="640">
        <f>+'[2]V2. Costos Op y Mant'!P34</f>
        <v>21570924.1558493</v>
      </c>
      <c r="S34" s="223">
        <f>+'[2]V2. Costos Op y Mant'!Q34</f>
        <v>12369770.913825</v>
      </c>
      <c r="T34" s="223">
        <f>+'[2]V2. Costos Op y Mant'!R34</f>
        <v>3205317.81467818</v>
      </c>
      <c r="U34" s="223">
        <f>+'[2]V2. Costos Op y Mant'!S34</f>
        <v>32289776.026</v>
      </c>
      <c r="V34" s="223">
        <f>+'[2]V2. Costos Op y Mant'!T34</f>
        <v>40123289.4546661</v>
      </c>
      <c r="W34" s="251">
        <f t="shared" si="1"/>
        <v>450000</v>
      </c>
      <c r="X34" s="640">
        <f t="shared" si="2"/>
        <v>26459912.6346</v>
      </c>
      <c r="Y34" s="653">
        <f t="shared" si="3"/>
        <v>231792615.478633</v>
      </c>
    </row>
    <row r="35" spans="2:25">
      <c r="B35" s="187" t="s">
        <v>566</v>
      </c>
      <c r="C35" s="189" t="s">
        <v>561</v>
      </c>
      <c r="D35" s="189">
        <v>2</v>
      </c>
      <c r="E35" s="639">
        <v>7500</v>
      </c>
      <c r="F35" s="639">
        <f t="shared" si="7"/>
        <v>15000</v>
      </c>
      <c r="I35" s="195" t="s">
        <v>528</v>
      </c>
      <c r="J35" s="210">
        <f>+F153</f>
        <v>52250</v>
      </c>
      <c r="K35" s="341">
        <f>+J35*12</f>
        <v>627000</v>
      </c>
      <c r="N35" s="189">
        <v>2050</v>
      </c>
      <c r="O35" s="189"/>
      <c r="P35" s="189"/>
      <c r="Q35" s="640">
        <f>+'[2]V2. Costos Op y Mant'!O35</f>
        <v>95323624.4790142</v>
      </c>
      <c r="R35" s="640">
        <f>+'[2]V2. Costos Op y Mant'!P35</f>
        <v>21577791.0880629</v>
      </c>
      <c r="S35" s="223">
        <f>+'[2]V2. Costos Op y Mant'!Q35</f>
        <v>12369770.913825</v>
      </c>
      <c r="T35" s="223">
        <f>+'[2]V2. Costos Op y Mant'!R35</f>
        <v>3206338.20212182</v>
      </c>
      <c r="U35" s="223">
        <f>+'[2]V2. Costos Op y Mant'!S35</f>
        <v>32289776.026</v>
      </c>
      <c r="V35" s="223">
        <f>+'[2]V2. Costos Op y Mant'!T35</f>
        <v>40136062.384879</v>
      </c>
      <c r="W35" s="251">
        <f t="shared" si="1"/>
        <v>450000</v>
      </c>
      <c r="X35" s="640">
        <f t="shared" si="2"/>
        <v>26459912.6346</v>
      </c>
      <c r="Y35" s="653">
        <f t="shared" si="3"/>
        <v>231813275.728503</v>
      </c>
    </row>
    <row r="36" spans="2:25">
      <c r="B36" s="187" t="s">
        <v>567</v>
      </c>
      <c r="C36" s="189" t="s">
        <v>561</v>
      </c>
      <c r="D36" s="189">
        <v>1</v>
      </c>
      <c r="E36" s="639">
        <v>3500</v>
      </c>
      <c r="F36" s="639">
        <f t="shared" si="7"/>
        <v>3500</v>
      </c>
      <c r="I36" s="195" t="s">
        <v>530</v>
      </c>
      <c r="J36" s="210">
        <f>+F160</f>
        <v>11536.425</v>
      </c>
      <c r="K36" s="341">
        <f>+J36*12</f>
        <v>138437.1</v>
      </c>
      <c r="N36" s="189">
        <v>2051</v>
      </c>
      <c r="O36" s="189"/>
      <c r="P36" s="189"/>
      <c r="Q36" s="640">
        <f>+'[2]V2. Costos Op y Mant'!O36</f>
        <v>95323624.4790142</v>
      </c>
      <c r="R36" s="640">
        <f>+'[2]V2. Costos Op y Mant'!P36</f>
        <v>21584660.2063097</v>
      </c>
      <c r="S36" s="223">
        <f>+'[2]V2. Costos Op y Mant'!Q36</f>
        <v>12369770.913825</v>
      </c>
      <c r="T36" s="223">
        <f>+'[2]V2. Costos Op y Mant'!R36</f>
        <v>3207358.91439769</v>
      </c>
      <c r="U36" s="223">
        <f>+'[2]V2. Costos Op y Mant'!S36</f>
        <v>32289776.026</v>
      </c>
      <c r="V36" s="223">
        <f>+'[2]V2. Costos Op y Mant'!T36</f>
        <v>40148839.3812528</v>
      </c>
      <c r="W36" s="251">
        <f t="shared" si="1"/>
        <v>450000</v>
      </c>
      <c r="X36" s="640">
        <f t="shared" si="2"/>
        <v>26459912.6346</v>
      </c>
      <c r="Y36" s="653">
        <f t="shared" si="3"/>
        <v>231833942.555399</v>
      </c>
    </row>
    <row r="37" spans="2:25">
      <c r="B37" s="187" t="s">
        <v>568</v>
      </c>
      <c r="C37" s="189" t="s">
        <v>561</v>
      </c>
      <c r="D37" s="189">
        <v>1</v>
      </c>
      <c r="E37" s="639">
        <v>3500</v>
      </c>
      <c r="F37" s="639">
        <f t="shared" si="7"/>
        <v>3500</v>
      </c>
      <c r="I37" s="195" t="s">
        <v>532</v>
      </c>
      <c r="J37" s="210">
        <f>+F163</f>
        <v>7500</v>
      </c>
      <c r="K37" s="341">
        <f>+J37*12</f>
        <v>90000</v>
      </c>
      <c r="N37" s="189">
        <v>2052</v>
      </c>
      <c r="O37" s="189"/>
      <c r="P37" s="189"/>
      <c r="Q37" s="640">
        <f>+'[2]V2. Costos Op y Mant'!O37</f>
        <v>95323624.4790142</v>
      </c>
      <c r="R37" s="640">
        <f>+'[2]V2. Costos Op y Mant'!P37</f>
        <v>21591531.5112858</v>
      </c>
      <c r="S37" s="223">
        <f>+'[2]V2. Costos Op y Mant'!Q37</f>
        <v>12369770.913825</v>
      </c>
      <c r="T37" s="223">
        <f>+'[2]V2. Costos Op y Mant'!R37</f>
        <v>3208379.9516092</v>
      </c>
      <c r="U37" s="223">
        <f>+'[2]V2. Costos Op y Mant'!S37</f>
        <v>32289776.026</v>
      </c>
      <c r="V37" s="223">
        <f>+'[2]V2. Costos Op y Mant'!T37</f>
        <v>40161620.4450817</v>
      </c>
      <c r="W37" s="251">
        <f t="shared" si="1"/>
        <v>450000</v>
      </c>
      <c r="X37" s="640">
        <f t="shared" si="2"/>
        <v>26459912.6346</v>
      </c>
      <c r="Y37" s="653">
        <f t="shared" si="3"/>
        <v>231854615.961416</v>
      </c>
    </row>
    <row r="38" spans="2:25">
      <c r="B38" s="191" t="s">
        <v>569</v>
      </c>
      <c r="C38" s="198"/>
      <c r="D38" s="198"/>
      <c r="E38" s="638">
        <f>+SUM(E31:E37)</f>
        <v>62750</v>
      </c>
      <c r="F38" s="638">
        <f>+SUM(F31:F37)</f>
        <v>70250</v>
      </c>
      <c r="I38" s="195" t="s">
        <v>570</v>
      </c>
      <c r="J38" s="210">
        <f>+F169</f>
        <v>775028.243833333</v>
      </c>
      <c r="K38" s="341">
        <f t="shared" ref="K38:K41" si="8">+J38*12</f>
        <v>9300338.926</v>
      </c>
      <c r="N38" s="189">
        <v>2053</v>
      </c>
      <c r="O38" s="189"/>
      <c r="P38" s="189"/>
      <c r="Q38" s="640">
        <f>+'[2]V2. Costos Op y Mant'!O38</f>
        <v>95323624.4790142</v>
      </c>
      <c r="R38" s="640">
        <f>+'[2]V2. Costos Op y Mant'!P38</f>
        <v>21598405.0036871</v>
      </c>
      <c r="S38" s="223">
        <f>+'[2]V2. Costos Op y Mant'!Q38</f>
        <v>12369770.913825</v>
      </c>
      <c r="T38" s="223">
        <f>+'[2]V2. Costos Op y Mant'!R38</f>
        <v>3209401.31385979</v>
      </c>
      <c r="U38" s="223">
        <f>+'[2]V2. Costos Op y Mant'!S38</f>
        <v>32289776.026</v>
      </c>
      <c r="V38" s="223">
        <f>+'[2]V2. Costos Op y Mant'!T38</f>
        <v>40174405.5776607</v>
      </c>
      <c r="W38" s="251">
        <f t="shared" si="1"/>
        <v>450000</v>
      </c>
      <c r="X38" s="640">
        <f t="shared" si="2"/>
        <v>26459912.6346</v>
      </c>
      <c r="Y38" s="653">
        <f t="shared" si="3"/>
        <v>231875295.948647</v>
      </c>
    </row>
    <row r="39" spans="2:25">
      <c r="B39" s="184" t="s">
        <v>571</v>
      </c>
      <c r="C39" s="185"/>
      <c r="D39" s="185"/>
      <c r="E39" s="635"/>
      <c r="F39" s="636"/>
      <c r="I39" s="195" t="s">
        <v>555</v>
      </c>
      <c r="J39" s="210">
        <f>+F176</f>
        <v>1175120.554608</v>
      </c>
      <c r="K39" s="341">
        <f t="shared" si="8"/>
        <v>14101446.655296</v>
      </c>
      <c r="N39" s="189">
        <v>2054</v>
      </c>
      <c r="O39" s="189"/>
      <c r="P39" s="189"/>
      <c r="Q39" s="640">
        <f>+'[2]V2. Costos Op y Mant'!O39</f>
        <v>95323624.4790142</v>
      </c>
      <c r="R39" s="640">
        <f>+'[2]V2. Costos Op y Mant'!P39</f>
        <v>21605280.6842101</v>
      </c>
      <c r="S39" s="223">
        <f>+'[2]V2. Costos Op y Mant'!Q39</f>
        <v>12369770.913825</v>
      </c>
      <c r="T39" s="223">
        <f>+'[2]V2. Costos Op y Mant'!R39</f>
        <v>3210423.00125293</v>
      </c>
      <c r="U39" s="223">
        <f>+'[2]V2. Costos Op y Mant'!S39</f>
        <v>32289776.026</v>
      </c>
      <c r="V39" s="223">
        <f>+'[2]V2. Costos Op y Mant'!T39</f>
        <v>40187194.780285</v>
      </c>
      <c r="W39" s="251">
        <f t="shared" si="1"/>
        <v>450000</v>
      </c>
      <c r="X39" s="640">
        <f t="shared" si="2"/>
        <v>26459912.6346</v>
      </c>
      <c r="Y39" s="653">
        <f t="shared" si="3"/>
        <v>231895982.519187</v>
      </c>
    </row>
    <row r="40" spans="2:25">
      <c r="B40" s="194" t="s">
        <v>572</v>
      </c>
      <c r="C40" s="189" t="s">
        <v>94</v>
      </c>
      <c r="D40" s="189">
        <v>150</v>
      </c>
      <c r="E40" s="639"/>
      <c r="F40" s="639"/>
      <c r="I40" s="233" t="s">
        <v>573</v>
      </c>
      <c r="J40" s="234">
        <f>+F181</f>
        <v>1492558.8390288</v>
      </c>
      <c r="K40" s="656">
        <f t="shared" si="8"/>
        <v>17910706.0683457</v>
      </c>
      <c r="N40" s="189">
        <v>2055</v>
      </c>
      <c r="O40" s="189"/>
      <c r="P40" s="189"/>
      <c r="Q40" s="640">
        <f>+'[2]V2. Costos Op y Mant'!O40</f>
        <v>95323624.4790142</v>
      </c>
      <c r="R40" s="640">
        <f>+'[2]V2. Costos Op y Mant'!P40</f>
        <v>21612158.5535514</v>
      </c>
      <c r="S40" s="223">
        <f>+'[2]V2. Costos Op y Mant'!Q40</f>
        <v>12369770.913825</v>
      </c>
      <c r="T40" s="223">
        <f>+'[2]V2. Costos Op y Mant'!R40</f>
        <v>3211445.01389213</v>
      </c>
      <c r="U40" s="223">
        <f>+'[2]V2. Costos Op y Mant'!S40</f>
        <v>32289776.026</v>
      </c>
      <c r="V40" s="223">
        <f>+'[2]V2. Costos Op y Mant'!T40</f>
        <v>40199988.0542503</v>
      </c>
      <c r="W40" s="251">
        <f t="shared" si="1"/>
        <v>450000</v>
      </c>
      <c r="X40" s="640">
        <f t="shared" si="2"/>
        <v>26459912.6346</v>
      </c>
      <c r="Y40" s="653">
        <f t="shared" si="3"/>
        <v>231916675.675133</v>
      </c>
    </row>
    <row r="41" spans="2:25">
      <c r="B41" s="194" t="s">
        <v>574</v>
      </c>
      <c r="C41" s="189"/>
      <c r="D41" s="203">
        <f>+(0.333333333333333)*35%</f>
        <v>0.116666666666667</v>
      </c>
      <c r="E41" s="639"/>
      <c r="F41" s="639"/>
      <c r="I41" s="233" t="s">
        <v>575</v>
      </c>
      <c r="J41" s="234">
        <f>+F189</f>
        <v>377995.773588329</v>
      </c>
      <c r="K41" s="656">
        <f t="shared" si="8"/>
        <v>4535949.28305994</v>
      </c>
      <c r="N41" s="189">
        <v>2056</v>
      </c>
      <c r="O41" s="189"/>
      <c r="P41" s="189"/>
      <c r="Q41" s="640">
        <f>+'[2]V2. Costos Op y Mant'!O41</f>
        <v>95323624.4790142</v>
      </c>
      <c r="R41" s="640">
        <f>+'[2]V2. Costos Op y Mant'!P41</f>
        <v>21619038.6124076</v>
      </c>
      <c r="S41" s="223">
        <f>+'[2]V2. Costos Op y Mant'!Q41</f>
        <v>12369770.913825</v>
      </c>
      <c r="T41" s="223">
        <f>+'[2]V2. Costos Op y Mant'!R41</f>
        <v>3212467.35188093</v>
      </c>
      <c r="U41" s="223">
        <f>+'[2]V2. Costos Op y Mant'!S41</f>
        <v>32289776.026</v>
      </c>
      <c r="V41" s="223">
        <f>+'[2]V2. Costos Op y Mant'!T41</f>
        <v>40212785.4008526</v>
      </c>
      <c r="W41" s="251">
        <f t="shared" si="1"/>
        <v>450000</v>
      </c>
      <c r="X41" s="640">
        <f t="shared" si="2"/>
        <v>26459912.6346</v>
      </c>
      <c r="Y41" s="653">
        <f t="shared" si="3"/>
        <v>231937375.41858</v>
      </c>
    </row>
    <row r="42" spans="2:25">
      <c r="B42" s="194"/>
      <c r="C42" s="189" t="s">
        <v>94</v>
      </c>
      <c r="D42" s="189">
        <f>+D40*D41</f>
        <v>17.5</v>
      </c>
      <c r="E42" s="639"/>
      <c r="F42" s="639"/>
      <c r="I42" s="235" t="s">
        <v>170</v>
      </c>
      <c r="J42" s="236">
        <f>+SUM(J34:J41)</f>
        <v>5736489.83605847</v>
      </c>
      <c r="K42" s="236">
        <f>+SUM(K34:K41)</f>
        <v>68837878.0327016</v>
      </c>
      <c r="N42" s="189">
        <v>2057</v>
      </c>
      <c r="O42" s="189"/>
      <c r="P42" s="189"/>
      <c r="Q42" s="640">
        <f>+'[2]V2. Costos Op y Mant'!O42</f>
        <v>95323624.4790142</v>
      </c>
      <c r="R42" s="640">
        <f>+'[2]V2. Costos Op y Mant'!P42</f>
        <v>21625920.861476</v>
      </c>
      <c r="S42" s="223">
        <f>+'[2]V2. Costos Op y Mant'!Q42</f>
        <v>12369770.913825</v>
      </c>
      <c r="T42" s="223">
        <f>+'[2]V2. Costos Op y Mant'!R42</f>
        <v>3213490.01532291</v>
      </c>
      <c r="U42" s="223">
        <f>+'[2]V2. Costos Op y Mant'!S42</f>
        <v>32289776.026</v>
      </c>
      <c r="V42" s="223">
        <f>+'[2]V2. Costos Op y Mant'!T42</f>
        <v>40225586.8213885</v>
      </c>
      <c r="W42" s="251">
        <f t="shared" si="1"/>
        <v>450000</v>
      </c>
      <c r="X42" s="640">
        <f t="shared" si="2"/>
        <v>26459912.6346</v>
      </c>
      <c r="Y42" s="653">
        <f t="shared" si="3"/>
        <v>231958081.751627</v>
      </c>
    </row>
    <row r="43" spans="2:25">
      <c r="B43" s="194" t="s">
        <v>576</v>
      </c>
      <c r="C43" s="189" t="s">
        <v>96</v>
      </c>
      <c r="D43" s="640">
        <f>+D42*24*30.4166666666667</f>
        <v>12775</v>
      </c>
      <c r="E43" s="639"/>
      <c r="F43" s="639"/>
      <c r="N43" s="189">
        <v>2058</v>
      </c>
      <c r="O43" s="189"/>
      <c r="P43" s="189"/>
      <c r="Q43" s="640">
        <f>+'[2]V2. Costos Op y Mant'!O43</f>
        <v>95323624.4790142</v>
      </c>
      <c r="R43" s="640">
        <f>+'[2]V2. Costos Op y Mant'!P43</f>
        <v>21632805.3014535</v>
      </c>
      <c r="S43" s="223">
        <f>+'[2]V2. Costos Op y Mant'!Q43</f>
        <v>12369770.913825</v>
      </c>
      <c r="T43" s="223">
        <f>+'[2]V2. Costos Op y Mant'!R43</f>
        <v>3214513.00432165</v>
      </c>
      <c r="U43" s="223">
        <f>+'[2]V2. Costos Op y Mant'!S43</f>
        <v>32289776.026</v>
      </c>
      <c r="V43" s="223">
        <f>+'[2]V2. Costos Op y Mant'!T43</f>
        <v>40238392.3171549</v>
      </c>
      <c r="W43" s="251">
        <f t="shared" si="1"/>
        <v>450000</v>
      </c>
      <c r="X43" s="640">
        <f t="shared" si="2"/>
        <v>26459912.6346</v>
      </c>
      <c r="Y43" s="653">
        <f t="shared" si="3"/>
        <v>231978794.676369</v>
      </c>
    </row>
    <row r="44" spans="2:25">
      <c r="B44" s="194" t="s">
        <v>577</v>
      </c>
      <c r="C44" s="189" t="s">
        <v>35</v>
      </c>
      <c r="D44" s="641">
        <f>+'I. Parametros Grales'!D27</f>
        <v>1.0362</v>
      </c>
      <c r="E44" s="639"/>
      <c r="F44" s="639"/>
      <c r="I44" t="s">
        <v>578</v>
      </c>
      <c r="N44" s="189">
        <v>2059</v>
      </c>
      <c r="O44" s="189"/>
      <c r="P44" s="189"/>
      <c r="Q44" s="640">
        <f>+'[2]V2. Costos Op y Mant'!O44</f>
        <v>95323624.4790142</v>
      </c>
      <c r="R44" s="640">
        <f>+'[2]V2. Costos Op y Mant'!P44</f>
        <v>21639691.9330379</v>
      </c>
      <c r="S44" s="223">
        <f>+'[2]V2. Costos Op y Mant'!Q44</f>
        <v>12369770.913825</v>
      </c>
      <c r="T44" s="223">
        <f>+'[2]V2. Costos Op y Mant'!R44</f>
        <v>3215536.31898081</v>
      </c>
      <c r="U44" s="223">
        <f>+'[2]V2. Costos Op y Mant'!S44</f>
        <v>32289776.026</v>
      </c>
      <c r="V44" s="223">
        <f>+'[2]V2. Costos Op y Mant'!T44</f>
        <v>40251201.889449</v>
      </c>
      <c r="W44" s="251">
        <f t="shared" si="1"/>
        <v>450000</v>
      </c>
      <c r="X44" s="640">
        <f t="shared" si="2"/>
        <v>26459912.6346</v>
      </c>
      <c r="Y44" s="653">
        <f t="shared" si="3"/>
        <v>231999514.194907</v>
      </c>
    </row>
    <row r="45" spans="2:25">
      <c r="B45" s="194" t="s">
        <v>579</v>
      </c>
      <c r="C45" s="203">
        <f>+'I. Parametros Grales'!G61</f>
        <v>0.373574020141594</v>
      </c>
      <c r="D45" s="642">
        <f>+C45*D44</f>
        <v>0.38709739967072</v>
      </c>
      <c r="E45" s="643"/>
      <c r="F45" s="643"/>
      <c r="I45" s="180" t="s">
        <v>10</v>
      </c>
      <c r="J45" s="180" t="s">
        <v>517</v>
      </c>
      <c r="K45" s="180" t="s">
        <v>518</v>
      </c>
      <c r="N45" s="189">
        <v>2060</v>
      </c>
      <c r="O45" s="189"/>
      <c r="P45" s="189"/>
      <c r="Q45" s="640">
        <f>+'[2]V2. Costos Op y Mant'!O45</f>
        <v>95323624.4790142</v>
      </c>
      <c r="R45" s="640">
        <f>+'[2]V2. Costos Op y Mant'!P45</f>
        <v>21646580.7569266</v>
      </c>
      <c r="S45" s="223">
        <f>+'[2]V2. Costos Op y Mant'!Q45</f>
        <v>12369770.913825</v>
      </c>
      <c r="T45" s="223">
        <f>+'[2]V2. Costos Op y Mant'!R45</f>
        <v>3216559.95940406</v>
      </c>
      <c r="U45" s="223">
        <f>+'[2]V2. Costos Op y Mant'!S45</f>
        <v>32289776.026</v>
      </c>
      <c r="V45" s="223">
        <f>+'[2]V2. Costos Op y Mant'!T45</f>
        <v>40264015.5395686</v>
      </c>
      <c r="W45" s="251">
        <f t="shared" si="1"/>
        <v>450000</v>
      </c>
      <c r="X45" s="640">
        <f t="shared" si="2"/>
        <v>26459912.6346</v>
      </c>
      <c r="Y45" s="653">
        <f t="shared" si="3"/>
        <v>232020240.309338</v>
      </c>
    </row>
    <row r="46" spans="2:25">
      <c r="B46" s="194" t="s">
        <v>580</v>
      </c>
      <c r="C46" s="189" t="s">
        <v>35</v>
      </c>
      <c r="D46" s="644">
        <f>+D45+D44</f>
        <v>1.42329739967072</v>
      </c>
      <c r="E46" s="643"/>
      <c r="F46" s="643"/>
      <c r="I46" s="195" t="s">
        <v>581</v>
      </c>
      <c r="J46" s="210">
        <f>+F218</f>
        <v>2204992.71955</v>
      </c>
      <c r="K46" s="341">
        <f>+J46*12</f>
        <v>26459912.6346</v>
      </c>
      <c r="N46" s="189">
        <v>2061</v>
      </c>
      <c r="O46" s="189"/>
      <c r="P46" s="189"/>
      <c r="Q46" s="640">
        <f>+'[2]V2. Costos Op y Mant'!O46</f>
        <v>95323624.4790142</v>
      </c>
      <c r="R46" s="640">
        <f>+'[2]V2. Costos Op y Mant'!P46</f>
        <v>21653471.7738176</v>
      </c>
      <c r="S46" s="223">
        <f>+'[2]V2. Costos Op y Mant'!Q46</f>
        <v>12369770.913825</v>
      </c>
      <c r="T46" s="223">
        <f>+'[2]V2. Costos Op y Mant'!R46</f>
        <v>3217583.9256951</v>
      </c>
      <c r="U46" s="223">
        <f>+'[2]V2. Costos Op y Mant'!S46</f>
        <v>32289776.026</v>
      </c>
      <c r="V46" s="223">
        <f>+'[2]V2. Costos Op y Mant'!T46</f>
        <v>40276833.2688119</v>
      </c>
      <c r="W46" s="251">
        <f t="shared" si="1"/>
        <v>450000</v>
      </c>
      <c r="X46" s="640">
        <f t="shared" si="2"/>
        <v>26459912.6346</v>
      </c>
      <c r="Y46" s="653">
        <f t="shared" si="3"/>
        <v>232040973.021764</v>
      </c>
    </row>
    <row r="47" spans="2:25">
      <c r="B47" s="194" t="s">
        <v>582</v>
      </c>
      <c r="C47" s="189" t="s">
        <v>90</v>
      </c>
      <c r="D47" s="289">
        <f>+D46*D43</f>
        <v>18182.6242807934</v>
      </c>
      <c r="E47" s="643"/>
      <c r="F47" s="643"/>
      <c r="N47" s="189">
        <v>2062</v>
      </c>
      <c r="O47" s="189"/>
      <c r="P47" s="189"/>
      <c r="Q47" s="640">
        <f>+'[2]V2. Costos Op y Mant'!O47</f>
        <v>95323624.4790142</v>
      </c>
      <c r="R47" s="640">
        <f>+'[2]V2. Costos Op y Mant'!P47</f>
        <v>21660364.9844091</v>
      </c>
      <c r="S47" s="223">
        <f>+'[2]V2. Costos Op y Mant'!Q47</f>
        <v>12369770.913825</v>
      </c>
      <c r="T47" s="223">
        <f>+'[2]V2. Costos Op y Mant'!R47</f>
        <v>3218608.21795766</v>
      </c>
      <c r="U47" s="223">
        <f>+'[2]V2. Costos Op y Mant'!S47</f>
        <v>32289776.026</v>
      </c>
      <c r="V47" s="223">
        <f>+'[2]V2. Costos Op y Mant'!T47</f>
        <v>40289655.0784773</v>
      </c>
      <c r="W47" s="251">
        <f t="shared" si="1"/>
        <v>450000</v>
      </c>
      <c r="X47" s="640">
        <f t="shared" si="2"/>
        <v>26459912.6346</v>
      </c>
      <c r="Y47" s="653">
        <f t="shared" si="3"/>
        <v>232061712.334283</v>
      </c>
    </row>
    <row r="48" spans="2:25">
      <c r="B48" s="191" t="s">
        <v>583</v>
      </c>
      <c r="C48" s="198"/>
      <c r="D48" s="198">
        <v>1</v>
      </c>
      <c r="E48" s="638">
        <f>+D46*D43</f>
        <v>18182.6242807934</v>
      </c>
      <c r="F48" s="638">
        <f>+E48*D48</f>
        <v>18182.6242807934</v>
      </c>
      <c r="N48" s="189">
        <v>2063</v>
      </c>
      <c r="O48" s="189"/>
      <c r="P48" s="189"/>
      <c r="Q48" s="640">
        <f>+'[2]V2. Costos Op y Mant'!O48</f>
        <v>95323624.4790142</v>
      </c>
      <c r="R48" s="640">
        <f>+'[2]V2. Costos Op y Mant'!P48</f>
        <v>21667260.3893994</v>
      </c>
      <c r="S48" s="223">
        <f>+'[2]V2. Costos Op y Mant'!Q48</f>
        <v>12369770.913825</v>
      </c>
      <c r="T48" s="223">
        <f>+'[2]V2. Costos Op y Mant'!R48</f>
        <v>3219632.83629553</v>
      </c>
      <c r="U48" s="223">
        <f>+'[2]V2. Costos Op y Mant'!S48</f>
        <v>32289776.026</v>
      </c>
      <c r="V48" s="223">
        <f>+'[2]V2. Costos Op y Mant'!T48</f>
        <v>40302480.969864</v>
      </c>
      <c r="W48" s="251">
        <f t="shared" si="1"/>
        <v>450000</v>
      </c>
      <c r="X48" s="640">
        <f t="shared" si="2"/>
        <v>26459912.6346</v>
      </c>
      <c r="Y48" s="653">
        <f t="shared" si="3"/>
        <v>232082458.248998</v>
      </c>
    </row>
    <row r="49" spans="2:25">
      <c r="B49" s="208" t="s">
        <v>584</v>
      </c>
      <c r="C49" s="208"/>
      <c r="D49" s="208"/>
      <c r="E49" s="645"/>
      <c r="F49" s="645"/>
      <c r="N49" s="4"/>
      <c r="O49" s="4"/>
      <c r="P49" s="4"/>
      <c r="Q49" s="658"/>
      <c r="R49" s="658"/>
      <c r="S49" s="231"/>
      <c r="T49" s="231"/>
      <c r="U49" s="231"/>
      <c r="V49" s="231"/>
      <c r="W49" s="253"/>
      <c r="X49" s="658"/>
      <c r="Y49" s="655"/>
    </row>
    <row r="50" spans="2:25">
      <c r="B50" s="194" t="s">
        <v>585</v>
      </c>
      <c r="C50" s="209" t="s">
        <v>561</v>
      </c>
      <c r="D50" s="209">
        <v>1</v>
      </c>
      <c r="E50" s="643">
        <v>12500</v>
      </c>
      <c r="F50" s="643">
        <f>+E50*D50</f>
        <v>12500</v>
      </c>
      <c r="N50" s="4"/>
      <c r="O50" s="4"/>
      <c r="P50" s="4"/>
      <c r="Q50" s="658"/>
      <c r="R50" s="658"/>
      <c r="S50" s="231"/>
      <c r="T50" s="231"/>
      <c r="U50" s="231"/>
      <c r="V50" s="231"/>
      <c r="W50" s="253"/>
      <c r="X50" s="658"/>
      <c r="Y50" s="655"/>
    </row>
    <row r="51" spans="2:25">
      <c r="B51" s="192" t="s">
        <v>586</v>
      </c>
      <c r="C51" s="211"/>
      <c r="D51" s="206"/>
      <c r="E51" s="646">
        <f>+E50</f>
        <v>12500</v>
      </c>
      <c r="F51" s="646">
        <f>+F50</f>
        <v>12500</v>
      </c>
      <c r="N51" s="4"/>
      <c r="O51" s="4"/>
      <c r="P51" s="4"/>
      <c r="Q51" s="658"/>
      <c r="R51" s="658"/>
      <c r="S51" s="231"/>
      <c r="T51" s="231"/>
      <c r="U51" s="231"/>
      <c r="V51" s="231"/>
      <c r="W51" s="253"/>
      <c r="X51" s="658"/>
      <c r="Y51" s="655"/>
    </row>
    <row r="52" spans="2:25">
      <c r="B52" s="184" t="s">
        <v>587</v>
      </c>
      <c r="C52" s="184"/>
      <c r="D52" s="184"/>
      <c r="E52" s="647"/>
      <c r="F52" s="647"/>
      <c r="N52" s="4"/>
      <c r="O52" s="4"/>
      <c r="P52" s="4"/>
      <c r="Q52" s="658"/>
      <c r="R52" s="658"/>
      <c r="S52" s="231"/>
      <c r="T52" s="231"/>
      <c r="U52" s="231"/>
      <c r="V52" s="231"/>
      <c r="W52" s="253"/>
      <c r="X52" s="658"/>
      <c r="Y52" s="655"/>
    </row>
    <row r="53" spans="2:25">
      <c r="B53" s="194" t="s">
        <v>588</v>
      </c>
      <c r="C53" s="209" t="s">
        <v>16</v>
      </c>
      <c r="D53" s="209">
        <v>200</v>
      </c>
      <c r="E53" s="643">
        <v>2000</v>
      </c>
      <c r="F53" s="643">
        <f>+D53*E53</f>
        <v>400000</v>
      </c>
      <c r="N53" s="4"/>
      <c r="O53" s="4"/>
      <c r="P53" s="4"/>
      <c r="Q53" s="658"/>
      <c r="R53" s="658"/>
      <c r="S53" s="231"/>
      <c r="T53" s="231"/>
      <c r="U53" s="231"/>
      <c r="V53" s="231"/>
      <c r="W53" s="253"/>
      <c r="X53" s="658"/>
      <c r="Y53" s="655"/>
    </row>
    <row r="54" spans="2:25">
      <c r="B54" s="194" t="s">
        <v>589</v>
      </c>
      <c r="C54" s="209" t="s">
        <v>16</v>
      </c>
      <c r="D54" s="209">
        <v>200</v>
      </c>
      <c r="E54" s="643">
        <v>1750</v>
      </c>
      <c r="F54" s="643">
        <f t="shared" ref="F54:F56" si="9">+D54*E54</f>
        <v>350000</v>
      </c>
      <c r="N54" s="4"/>
      <c r="O54" s="4"/>
      <c r="P54" s="4"/>
      <c r="Q54" s="658"/>
      <c r="R54" s="658"/>
      <c r="S54" s="231"/>
      <c r="T54" s="231"/>
      <c r="U54" s="231"/>
      <c r="V54" s="231"/>
      <c r="W54" s="253"/>
      <c r="X54" s="658"/>
      <c r="Y54" s="655"/>
    </row>
    <row r="55" spans="2:25">
      <c r="B55" s="194" t="s">
        <v>590</v>
      </c>
      <c r="C55" s="209" t="s">
        <v>16</v>
      </c>
      <c r="D55" s="209">
        <v>200</v>
      </c>
      <c r="E55" s="643">
        <v>1200</v>
      </c>
      <c r="F55" s="643">
        <f t="shared" si="9"/>
        <v>240000</v>
      </c>
      <c r="N55" s="4"/>
      <c r="O55" s="4"/>
      <c r="P55" s="4"/>
      <c r="Q55" s="658"/>
      <c r="R55" s="658"/>
      <c r="S55" s="231"/>
      <c r="T55" s="231"/>
      <c r="U55" s="231"/>
      <c r="V55" s="231"/>
      <c r="W55" s="253"/>
      <c r="X55" s="658"/>
      <c r="Y55" s="655"/>
    </row>
    <row r="56" spans="2:25">
      <c r="B56" s="194" t="s">
        <v>591</v>
      </c>
      <c r="C56" s="209" t="s">
        <v>16</v>
      </c>
      <c r="D56" s="209">
        <v>200</v>
      </c>
      <c r="E56" s="643">
        <v>600</v>
      </c>
      <c r="F56" s="643">
        <f t="shared" si="9"/>
        <v>120000</v>
      </c>
      <c r="N56" s="4"/>
      <c r="O56" s="4"/>
      <c r="P56" s="4"/>
      <c r="Q56" s="658"/>
      <c r="R56" s="658"/>
      <c r="S56" s="231"/>
      <c r="T56" s="231"/>
      <c r="U56" s="231"/>
      <c r="V56" s="231"/>
      <c r="W56" s="253"/>
      <c r="X56" s="658"/>
      <c r="Y56" s="655"/>
    </row>
    <row r="57" spans="2:6">
      <c r="B57" s="648" t="s">
        <v>592</v>
      </c>
      <c r="C57" s="649"/>
      <c r="D57" s="649"/>
      <c r="E57" s="650">
        <f>+SUM(E53:E56)</f>
        <v>5550</v>
      </c>
      <c r="F57" s="650">
        <f>+SUM(F53:F56)</f>
        <v>1110000</v>
      </c>
    </row>
    <row r="58" spans="2:6">
      <c r="B58" s="184" t="s">
        <v>593</v>
      </c>
      <c r="C58" s="185"/>
      <c r="D58" s="185"/>
      <c r="E58" s="185"/>
      <c r="F58" s="186"/>
    </row>
    <row r="59" spans="2:6">
      <c r="B59" s="216" t="s">
        <v>594</v>
      </c>
      <c r="C59" s="217"/>
      <c r="D59" s="217"/>
      <c r="E59" s="651"/>
      <c r="F59" s="652"/>
    </row>
    <row r="60" spans="2:7">
      <c r="B60" s="187" t="s">
        <v>588</v>
      </c>
      <c r="C60" s="189" t="s">
        <v>595</v>
      </c>
      <c r="D60" s="341">
        <v>4000</v>
      </c>
      <c r="E60" s="643">
        <f>+'I. Parametros Grales'!$D$24</f>
        <v>23.72</v>
      </c>
      <c r="F60" s="639">
        <f>+D60*E60</f>
        <v>94880</v>
      </c>
      <c r="G60" s="321"/>
    </row>
    <row r="61" spans="2:7">
      <c r="B61" s="187" t="s">
        <v>596</v>
      </c>
      <c r="C61" s="189" t="s">
        <v>595</v>
      </c>
      <c r="D61" s="341">
        <v>4000</v>
      </c>
      <c r="E61" s="643">
        <f>+'I. Parametros Grales'!$D$24</f>
        <v>23.72</v>
      </c>
      <c r="F61" s="639">
        <f t="shared" ref="F61:F66" si="10">+D61*E61</f>
        <v>94880</v>
      </c>
      <c r="G61" s="321"/>
    </row>
    <row r="62" spans="2:7">
      <c r="B62" s="187" t="s">
        <v>597</v>
      </c>
      <c r="C62" s="189" t="s">
        <v>595</v>
      </c>
      <c r="D62" s="341">
        <v>3000</v>
      </c>
      <c r="E62" s="643">
        <f>+'I. Parametros Grales'!$D$24</f>
        <v>23.72</v>
      </c>
      <c r="F62" s="639">
        <f t="shared" si="10"/>
        <v>71160</v>
      </c>
      <c r="G62" s="321"/>
    </row>
    <row r="63" spans="2:7">
      <c r="B63" s="187" t="s">
        <v>591</v>
      </c>
      <c r="C63" s="189" t="s">
        <v>595</v>
      </c>
      <c r="D63" s="341">
        <v>1500</v>
      </c>
      <c r="E63" s="643">
        <f>+'I. Parametros Grales'!$D$24</f>
        <v>23.72</v>
      </c>
      <c r="F63" s="639">
        <f t="shared" si="10"/>
        <v>35580</v>
      </c>
      <c r="G63" s="321"/>
    </row>
    <row r="64" spans="2:7">
      <c r="B64" s="187" t="s">
        <v>598</v>
      </c>
      <c r="C64" s="189" t="s">
        <v>595</v>
      </c>
      <c r="D64" s="341">
        <v>5000</v>
      </c>
      <c r="E64" s="643">
        <f>+'I. Parametros Grales'!$D$24</f>
        <v>23.72</v>
      </c>
      <c r="F64" s="639">
        <f t="shared" si="10"/>
        <v>118600</v>
      </c>
      <c r="G64" s="321"/>
    </row>
    <row r="65" spans="2:7">
      <c r="B65" s="187" t="s">
        <v>599</v>
      </c>
      <c r="C65" s="189" t="s">
        <v>595</v>
      </c>
      <c r="D65" s="341">
        <v>1200</v>
      </c>
      <c r="E65" s="643">
        <f>+'I. Parametros Grales'!$D$24</f>
        <v>23.72</v>
      </c>
      <c r="F65" s="639">
        <f t="shared" si="10"/>
        <v>28464</v>
      </c>
      <c r="G65" s="321"/>
    </row>
    <row r="66" spans="2:6">
      <c r="B66" s="187" t="s">
        <v>600</v>
      </c>
      <c r="C66" s="189" t="s">
        <v>595</v>
      </c>
      <c r="D66" s="256">
        <v>0.2</v>
      </c>
      <c r="E66" s="643">
        <f>+SUM(F60:F65)</f>
        <v>443564</v>
      </c>
      <c r="F66" s="639">
        <f t="shared" si="10"/>
        <v>88712.8</v>
      </c>
    </row>
    <row r="67" spans="2:7">
      <c r="B67" s="191" t="s">
        <v>601</v>
      </c>
      <c r="C67" s="257"/>
      <c r="D67" s="659">
        <f>+SUM(D60:D66)</f>
        <v>18700.2</v>
      </c>
      <c r="E67" s="646">
        <f t="shared" ref="E67:F67" si="11">+SUM(E60:E66)</f>
        <v>443706.32</v>
      </c>
      <c r="F67" s="646">
        <f t="shared" si="11"/>
        <v>532276.8</v>
      </c>
      <c r="G67" s="229"/>
    </row>
    <row r="68" spans="2:6">
      <c r="B68" s="259" t="s">
        <v>602</v>
      </c>
      <c r="C68" s="260"/>
      <c r="D68" s="260"/>
      <c r="E68" s="260"/>
      <c r="F68" s="261"/>
    </row>
    <row r="69" spans="2:6">
      <c r="B69" s="187" t="s">
        <v>602</v>
      </c>
      <c r="C69" s="262" t="s">
        <v>561</v>
      </c>
      <c r="D69" s="263">
        <v>0.2</v>
      </c>
      <c r="E69" s="660">
        <f>+E67</f>
        <v>443706.32</v>
      </c>
      <c r="F69" s="661">
        <f>+D69*E69</f>
        <v>88741.264</v>
      </c>
    </row>
    <row r="70" spans="2:6">
      <c r="B70" s="266" t="s">
        <v>603</v>
      </c>
      <c r="C70" s="211"/>
      <c r="D70" s="267"/>
      <c r="E70" s="646">
        <f>+E69</f>
        <v>443706.32</v>
      </c>
      <c r="F70" s="638">
        <f>+F69</f>
        <v>88741.264</v>
      </c>
    </row>
    <row r="71" spans="2:6">
      <c r="B71" s="268" t="s">
        <v>604</v>
      </c>
      <c r="C71" s="269"/>
      <c r="D71" s="270"/>
      <c r="E71" s="662"/>
      <c r="F71" s="663">
        <f>+(K13+K14)/('[2]V. Sit.Con Proyecto'!L83)</f>
        <v>110.736545758138</v>
      </c>
    </row>
    <row r="72" spans="2:6">
      <c r="B72" s="268" t="s">
        <v>605</v>
      </c>
      <c r="C72" s="269"/>
      <c r="D72" s="270"/>
      <c r="E72" s="662"/>
      <c r="F72" s="270">
        <f>+[3]Cant_Comp_RS!C301</f>
        <v>0.838124638863165</v>
      </c>
    </row>
    <row r="73" spans="2:2">
      <c r="B73" t="s">
        <v>8</v>
      </c>
    </row>
    <row r="75" spans="2:2">
      <c r="B75" t="s">
        <v>606</v>
      </c>
    </row>
    <row r="76" spans="2:6">
      <c r="B76" s="275" t="s">
        <v>10</v>
      </c>
      <c r="C76" s="275" t="s">
        <v>11</v>
      </c>
      <c r="D76" s="275" t="s">
        <v>12</v>
      </c>
      <c r="E76" s="664" t="s">
        <v>493</v>
      </c>
      <c r="F76" s="664" t="s">
        <v>607</v>
      </c>
    </row>
    <row r="77" spans="2:6">
      <c r="B77" s="184" t="s">
        <v>522</v>
      </c>
      <c r="C77" s="185"/>
      <c r="D77" s="185"/>
      <c r="E77" s="185"/>
      <c r="F77" s="186"/>
    </row>
    <row r="78" spans="2:6">
      <c r="B78" s="194" t="s">
        <v>608</v>
      </c>
      <c r="C78" s="209" t="s">
        <v>527</v>
      </c>
      <c r="D78" s="209">
        <v>1</v>
      </c>
      <c r="E78" s="639">
        <v>36250</v>
      </c>
      <c r="F78" s="643">
        <f>+D78*E78</f>
        <v>36250</v>
      </c>
    </row>
    <row r="79" spans="2:6">
      <c r="B79" s="194" t="s">
        <v>609</v>
      </c>
      <c r="C79" s="209" t="s">
        <v>527</v>
      </c>
      <c r="D79" s="209">
        <v>1</v>
      </c>
      <c r="E79" s="639">
        <v>24750</v>
      </c>
      <c r="F79" s="643">
        <f t="shared" ref="F79:F82" si="12">+D79*E79</f>
        <v>24750</v>
      </c>
    </row>
    <row r="80" spans="2:6">
      <c r="B80" s="194" t="s">
        <v>610</v>
      </c>
      <c r="C80" s="209" t="s">
        <v>527</v>
      </c>
      <c r="D80" s="209">
        <v>1</v>
      </c>
      <c r="E80" s="639">
        <v>16500</v>
      </c>
      <c r="F80" s="643">
        <f t="shared" si="12"/>
        <v>16500</v>
      </c>
    </row>
    <row r="81" spans="2:6">
      <c r="B81" s="194" t="s">
        <v>611</v>
      </c>
      <c r="C81" s="209" t="s">
        <v>527</v>
      </c>
      <c r="D81" s="209">
        <v>1</v>
      </c>
      <c r="E81" s="639">
        <v>13200</v>
      </c>
      <c r="F81" s="643">
        <f t="shared" si="12"/>
        <v>13200</v>
      </c>
    </row>
    <row r="82" spans="2:6">
      <c r="B82" s="194" t="s">
        <v>612</v>
      </c>
      <c r="C82" s="209" t="s">
        <v>527</v>
      </c>
      <c r="D82" s="209">
        <v>2</v>
      </c>
      <c r="E82" s="639">
        <v>16500</v>
      </c>
      <c r="F82" s="643">
        <f t="shared" si="12"/>
        <v>33000</v>
      </c>
    </row>
    <row r="83" spans="2:6">
      <c r="B83" s="276" t="s">
        <v>543</v>
      </c>
      <c r="C83" s="192"/>
      <c r="D83" s="206">
        <f>+SUM(D78:D82)</f>
        <v>6</v>
      </c>
      <c r="E83" s="646">
        <f t="shared" ref="E83:F83" si="13">+SUM(E78:E82)</f>
        <v>107200</v>
      </c>
      <c r="F83" s="646">
        <f t="shared" si="13"/>
        <v>123700</v>
      </c>
    </row>
    <row r="84" spans="2:6">
      <c r="B84" s="184" t="s">
        <v>545</v>
      </c>
      <c r="C84" s="185"/>
      <c r="D84" s="185"/>
      <c r="E84" s="185"/>
      <c r="F84" s="186"/>
    </row>
    <row r="85" spans="2:6">
      <c r="B85" s="194" t="s">
        <v>547</v>
      </c>
      <c r="C85" s="209" t="s">
        <v>527</v>
      </c>
      <c r="D85" s="209">
        <v>1</v>
      </c>
      <c r="E85" s="639">
        <v>20625</v>
      </c>
      <c r="F85" s="643">
        <f>+E85*D85</f>
        <v>20625</v>
      </c>
    </row>
    <row r="86" spans="2:11">
      <c r="B86" s="194" t="s">
        <v>613</v>
      </c>
      <c r="C86" s="209" t="s">
        <v>527</v>
      </c>
      <c r="D86" s="209">
        <v>1</v>
      </c>
      <c r="E86" s="639">
        <v>10725</v>
      </c>
      <c r="F86" s="643">
        <f>+E86*D86</f>
        <v>10725</v>
      </c>
      <c r="J86" s="229"/>
      <c r="K86" s="671"/>
    </row>
    <row r="87" spans="2:11">
      <c r="B87" s="276" t="s">
        <v>558</v>
      </c>
      <c r="C87" s="192"/>
      <c r="D87" s="206">
        <f>+SUM(D85:D86)</f>
        <v>2</v>
      </c>
      <c r="E87" s="646">
        <f>+SUM(E85:E86)</f>
        <v>31350</v>
      </c>
      <c r="F87" s="646">
        <f>+SUM(F85:F86)</f>
        <v>31350</v>
      </c>
      <c r="J87" s="229"/>
      <c r="K87" s="671"/>
    </row>
    <row r="88" spans="2:11">
      <c r="B88" s="184" t="s">
        <v>559</v>
      </c>
      <c r="C88" s="185"/>
      <c r="D88" s="185"/>
      <c r="E88" s="185"/>
      <c r="F88" s="186"/>
      <c r="K88" s="229"/>
    </row>
    <row r="89" spans="2:6">
      <c r="B89" s="187" t="s">
        <v>560</v>
      </c>
      <c r="C89" s="209" t="s">
        <v>561</v>
      </c>
      <c r="D89" s="189">
        <v>1</v>
      </c>
      <c r="E89" s="637">
        <v>2500</v>
      </c>
      <c r="F89" s="665">
        <f>+D89*E89</f>
        <v>2500</v>
      </c>
    </row>
    <row r="90" spans="2:6">
      <c r="B90" s="187" t="s">
        <v>562</v>
      </c>
      <c r="C90" s="209" t="s">
        <v>561</v>
      </c>
      <c r="D90" s="189">
        <v>1</v>
      </c>
      <c r="E90" s="637">
        <v>1500</v>
      </c>
      <c r="F90" s="665">
        <f t="shared" ref="F90:F95" si="14">+D90*E90</f>
        <v>1500</v>
      </c>
    </row>
    <row r="91" spans="2:6">
      <c r="B91" s="187" t="s">
        <v>564</v>
      </c>
      <c r="C91" s="209" t="s">
        <v>561</v>
      </c>
      <c r="D91" s="189">
        <v>1</v>
      </c>
      <c r="E91" s="637">
        <v>1250</v>
      </c>
      <c r="F91" s="665">
        <f t="shared" si="14"/>
        <v>1250</v>
      </c>
    </row>
    <row r="92" ht="30" spans="2:6">
      <c r="B92" s="187" t="s">
        <v>614</v>
      </c>
      <c r="C92" s="209" t="s">
        <v>561</v>
      </c>
      <c r="D92" s="189">
        <v>1</v>
      </c>
      <c r="E92" s="637">
        <v>20000</v>
      </c>
      <c r="F92" s="665">
        <f t="shared" si="14"/>
        <v>20000</v>
      </c>
    </row>
    <row r="93" spans="2:6">
      <c r="B93" s="187" t="s">
        <v>566</v>
      </c>
      <c r="C93" s="209" t="s">
        <v>561</v>
      </c>
      <c r="D93" s="189">
        <v>1</v>
      </c>
      <c r="E93" s="637">
        <v>7500</v>
      </c>
      <c r="F93" s="665">
        <f t="shared" si="14"/>
        <v>7500</v>
      </c>
    </row>
    <row r="94" spans="2:6">
      <c r="B94" s="187" t="s">
        <v>567</v>
      </c>
      <c r="C94" s="209" t="s">
        <v>561</v>
      </c>
      <c r="D94" s="189">
        <v>1</v>
      </c>
      <c r="E94" s="637">
        <v>3500</v>
      </c>
      <c r="F94" s="665">
        <f t="shared" si="14"/>
        <v>3500</v>
      </c>
    </row>
    <row r="95" spans="2:6">
      <c r="B95" s="187" t="s">
        <v>568</v>
      </c>
      <c r="C95" s="209" t="s">
        <v>561</v>
      </c>
      <c r="D95" s="189">
        <v>1</v>
      </c>
      <c r="E95" s="637">
        <v>3500</v>
      </c>
      <c r="F95" s="665">
        <f t="shared" si="14"/>
        <v>3500</v>
      </c>
    </row>
    <row r="96" spans="2:6">
      <c r="B96" s="276" t="s">
        <v>569</v>
      </c>
      <c r="C96" s="198"/>
      <c r="D96" s="206">
        <f>+SUM(D91:D95)</f>
        <v>5</v>
      </c>
      <c r="E96" s="646">
        <f>+SUM(E89:E95)</f>
        <v>39750</v>
      </c>
      <c r="F96" s="646">
        <f>+SUM(F89:F95)</f>
        <v>39750</v>
      </c>
    </row>
    <row r="97" spans="2:6">
      <c r="B97" s="184" t="s">
        <v>530</v>
      </c>
      <c r="C97" s="185"/>
      <c r="D97" s="185"/>
      <c r="E97" s="185"/>
      <c r="F97" s="186"/>
    </row>
    <row r="98" spans="2:6">
      <c r="B98" s="194" t="s">
        <v>615</v>
      </c>
      <c r="C98" s="189" t="s">
        <v>96</v>
      </c>
      <c r="D98" s="189">
        <v>2500</v>
      </c>
      <c r="E98" s="639"/>
      <c r="F98" s="639"/>
    </row>
    <row r="99" spans="2:6">
      <c r="B99" s="194" t="s">
        <v>577</v>
      </c>
      <c r="C99" s="189" t="s">
        <v>35</v>
      </c>
      <c r="D99" s="666">
        <f>+[3]Parametros!C11</f>
        <v>1.899</v>
      </c>
      <c r="E99" s="639"/>
      <c r="F99" s="639"/>
    </row>
    <row r="100" ht="30" spans="2:6">
      <c r="B100" s="187" t="s">
        <v>579</v>
      </c>
      <c r="C100" s="667">
        <v>0.35</v>
      </c>
      <c r="D100" s="189">
        <f>+D99*C100</f>
        <v>0.66465</v>
      </c>
      <c r="E100" s="639"/>
      <c r="F100" s="639"/>
    </row>
    <row r="101" spans="2:6">
      <c r="B101" s="194" t="s">
        <v>580</v>
      </c>
      <c r="C101" s="189" t="s">
        <v>35</v>
      </c>
      <c r="D101" s="668">
        <f>+D99+D100</f>
        <v>2.56365</v>
      </c>
      <c r="E101" s="639"/>
      <c r="F101" s="639"/>
    </row>
    <row r="102" spans="2:6">
      <c r="B102" s="194" t="s">
        <v>582</v>
      </c>
      <c r="C102" s="189" t="s">
        <v>90</v>
      </c>
      <c r="D102" s="280">
        <f>+D101*D98</f>
        <v>6409.125</v>
      </c>
      <c r="E102" s="639"/>
      <c r="F102" s="639"/>
    </row>
    <row r="103" spans="2:6">
      <c r="B103" s="276" t="s">
        <v>616</v>
      </c>
      <c r="C103" s="198"/>
      <c r="D103" s="206">
        <v>1</v>
      </c>
      <c r="E103" s="646">
        <f>+D102</f>
        <v>6409.125</v>
      </c>
      <c r="F103" s="646">
        <f>+D103*E103</f>
        <v>6409.125</v>
      </c>
    </row>
    <row r="104" spans="2:6">
      <c r="B104" s="268" t="s">
        <v>617</v>
      </c>
      <c r="C104" s="268"/>
      <c r="D104" s="268"/>
      <c r="E104" s="268"/>
      <c r="F104" s="268"/>
    </row>
    <row r="105" spans="2:6">
      <c r="B105" s="281" t="s">
        <v>618</v>
      </c>
      <c r="C105" s="282" t="s">
        <v>561</v>
      </c>
      <c r="D105" s="282">
        <v>1</v>
      </c>
      <c r="E105" s="669">
        <v>7500</v>
      </c>
      <c r="F105" s="669">
        <v>7500</v>
      </c>
    </row>
    <row r="106" spans="2:6">
      <c r="B106" s="284" t="s">
        <v>619</v>
      </c>
      <c r="C106" s="285"/>
      <c r="D106" s="206">
        <f>+SUM(D105)</f>
        <v>1</v>
      </c>
      <c r="E106" s="638">
        <f>+SUM(E105)</f>
        <v>7500</v>
      </c>
      <c r="F106" s="638">
        <f>+SUM(F105)</f>
        <v>7500</v>
      </c>
    </row>
    <row r="107" spans="2:6">
      <c r="B107" s="208" t="s">
        <v>551</v>
      </c>
      <c r="C107" s="285" t="s">
        <v>561</v>
      </c>
      <c r="D107" s="206">
        <v>1</v>
      </c>
      <c r="E107" s="638">
        <v>1311613.9433869</v>
      </c>
      <c r="F107" s="638">
        <f>+D107*E107</f>
        <v>1311613.9433869</v>
      </c>
    </row>
    <row r="108" spans="2:6">
      <c r="B108" s="184" t="s">
        <v>620</v>
      </c>
      <c r="C108" s="185"/>
      <c r="D108" s="185"/>
      <c r="E108" s="185"/>
      <c r="F108" s="186"/>
    </row>
    <row r="109" spans="2:6">
      <c r="B109" s="6" t="s">
        <v>621</v>
      </c>
      <c r="C109" s="6"/>
      <c r="D109" s="6"/>
      <c r="E109" s="6"/>
      <c r="F109" s="6"/>
    </row>
    <row r="110" spans="2:6">
      <c r="B110" s="187" t="s">
        <v>622</v>
      </c>
      <c r="C110" s="189" t="s">
        <v>16</v>
      </c>
      <c r="D110" s="341">
        <v>24730.5508806103</v>
      </c>
      <c r="E110" s="639">
        <v>103.125</v>
      </c>
      <c r="F110" s="639">
        <f>+D110*E110</f>
        <v>2550338.05956294</v>
      </c>
    </row>
    <row r="111" spans="2:6">
      <c r="B111" s="187" t="s">
        <v>623</v>
      </c>
      <c r="C111" s="189" t="s">
        <v>624</v>
      </c>
      <c r="D111" s="341">
        <v>340045.074608392</v>
      </c>
      <c r="E111" s="639">
        <v>19.8275862068966</v>
      </c>
      <c r="F111" s="639">
        <f t="shared" ref="F111:F113" si="15">+D111*E111</f>
        <v>6742273.03102847</v>
      </c>
    </row>
    <row r="112" spans="2:6">
      <c r="B112" s="187" t="s">
        <v>600</v>
      </c>
      <c r="C112" s="189" t="s">
        <v>47</v>
      </c>
      <c r="D112" s="256">
        <v>0.2</v>
      </c>
      <c r="E112" s="639">
        <v>6742273.03102847</v>
      </c>
      <c r="F112" s="639">
        <f t="shared" si="15"/>
        <v>1348454.60620569</v>
      </c>
    </row>
    <row r="113" spans="2:6">
      <c r="B113" s="187" t="s">
        <v>625</v>
      </c>
      <c r="C113" s="189" t="s">
        <v>626</v>
      </c>
      <c r="D113" s="341">
        <v>680090.149216785</v>
      </c>
      <c r="E113" s="639">
        <v>11.8965517241379</v>
      </c>
      <c r="F113" s="639">
        <f t="shared" si="15"/>
        <v>8090727.63723416</v>
      </c>
    </row>
    <row r="114" spans="2:6">
      <c r="B114" s="286" t="s">
        <v>627</v>
      </c>
      <c r="C114" s="192"/>
      <c r="D114" s="192"/>
      <c r="E114" s="638"/>
      <c r="F114" s="638">
        <f>+SUM(F110:F113)</f>
        <v>18731793.3340313</v>
      </c>
    </row>
    <row r="115" spans="2:6">
      <c r="B115" s="286" t="s">
        <v>628</v>
      </c>
      <c r="C115" s="192"/>
      <c r="D115" s="192"/>
      <c r="E115" s="638"/>
      <c r="F115" s="638">
        <f>+F114/12</f>
        <v>1560982.77783594</v>
      </c>
    </row>
    <row r="116" spans="2:6">
      <c r="B116" s="216" t="s">
        <v>629</v>
      </c>
      <c r="C116" s="217"/>
      <c r="D116" s="217"/>
      <c r="E116" s="217"/>
      <c r="F116" s="218"/>
    </row>
    <row r="117" spans="2:6">
      <c r="B117" s="187" t="s">
        <v>572</v>
      </c>
      <c r="C117" s="189" t="s">
        <v>94</v>
      </c>
      <c r="D117" s="195">
        <v>150</v>
      </c>
      <c r="E117" s="643"/>
      <c r="F117" s="643"/>
    </row>
    <row r="118" spans="2:6">
      <c r="B118" s="187" t="s">
        <v>574</v>
      </c>
      <c r="C118" s="189" t="s">
        <v>94</v>
      </c>
      <c r="D118" s="195">
        <f>+D117*E118</f>
        <v>120</v>
      </c>
      <c r="E118" s="643">
        <v>0.8</v>
      </c>
      <c r="F118" s="643"/>
    </row>
    <row r="119" ht="30" spans="2:6">
      <c r="B119" s="187" t="s">
        <v>630</v>
      </c>
      <c r="C119" s="189" t="s">
        <v>25</v>
      </c>
      <c r="D119" s="195">
        <v>140</v>
      </c>
      <c r="E119" s="643"/>
      <c r="F119" s="643"/>
    </row>
    <row r="120" ht="30" spans="2:6">
      <c r="B120" s="187" t="s">
        <v>631</v>
      </c>
      <c r="C120" s="189" t="s">
        <v>632</v>
      </c>
      <c r="D120" s="670">
        <v>170.398511904762</v>
      </c>
      <c r="E120" s="643"/>
      <c r="F120" s="643"/>
    </row>
    <row r="121" spans="2:6">
      <c r="B121" s="187" t="s">
        <v>576</v>
      </c>
      <c r="C121" s="189" t="s">
        <v>96</v>
      </c>
      <c r="D121" s="289">
        <f>+D118*D120</f>
        <v>20447.8214285714</v>
      </c>
      <c r="E121" s="643"/>
      <c r="F121" s="643"/>
    </row>
    <row r="122" spans="2:6">
      <c r="B122" s="187" t="s">
        <v>577</v>
      </c>
      <c r="C122" s="189" t="s">
        <v>35</v>
      </c>
      <c r="D122" s="195">
        <v>1.899</v>
      </c>
      <c r="E122" s="643"/>
      <c r="F122" s="643"/>
    </row>
    <row r="123" ht="30" spans="2:6">
      <c r="B123" s="187" t="s">
        <v>579</v>
      </c>
      <c r="C123" s="297">
        <v>0.35</v>
      </c>
      <c r="D123" s="188">
        <f>+D122*C123</f>
        <v>0.66465</v>
      </c>
      <c r="E123" s="643"/>
      <c r="F123" s="643"/>
    </row>
    <row r="124" spans="2:6">
      <c r="B124" s="187" t="s">
        <v>580</v>
      </c>
      <c r="C124" s="189" t="s">
        <v>35</v>
      </c>
      <c r="D124" s="195">
        <f>+D123+D122</f>
        <v>2.56365</v>
      </c>
      <c r="E124" s="643"/>
      <c r="F124" s="643"/>
    </row>
    <row r="125" spans="2:6">
      <c r="B125" s="187" t="s">
        <v>582</v>
      </c>
      <c r="C125" s="189" t="s">
        <v>90</v>
      </c>
      <c r="D125" s="341">
        <f>+D121*D124</f>
        <v>52421.0574053571</v>
      </c>
      <c r="E125" s="643"/>
      <c r="F125" s="643"/>
    </row>
    <row r="126" spans="2:6">
      <c r="B126" s="284" t="s">
        <v>633</v>
      </c>
      <c r="C126" s="198"/>
      <c r="D126" s="192"/>
      <c r="E126" s="638">
        <f>+D124</f>
        <v>2.56365</v>
      </c>
      <c r="F126" s="638">
        <f>+E126*D121</f>
        <v>52421.0574053571</v>
      </c>
    </row>
    <row r="127" spans="2:6">
      <c r="B127" s="206" t="s">
        <v>634</v>
      </c>
      <c r="C127" s="206"/>
      <c r="D127" s="206"/>
      <c r="E127" s="206"/>
      <c r="F127" s="206"/>
    </row>
    <row r="128" spans="2:6">
      <c r="B128" s="187" t="s">
        <v>635</v>
      </c>
      <c r="C128" s="262" t="s">
        <v>636</v>
      </c>
      <c r="D128" s="291">
        <v>600</v>
      </c>
      <c r="E128" s="661">
        <v>40</v>
      </c>
      <c r="F128" s="661">
        <f>+E128*D128</f>
        <v>24000</v>
      </c>
    </row>
    <row r="129" spans="2:6">
      <c r="B129" s="192" t="s">
        <v>637</v>
      </c>
      <c r="C129" s="211" t="s">
        <v>636</v>
      </c>
      <c r="D129" s="192">
        <f>+D128</f>
        <v>600</v>
      </c>
      <c r="E129" s="638">
        <f>+E128</f>
        <v>40</v>
      </c>
      <c r="F129" s="646">
        <f>+F128</f>
        <v>24000</v>
      </c>
    </row>
    <row r="130" spans="2:6">
      <c r="B130" s="192" t="s">
        <v>638</v>
      </c>
      <c r="C130" s="269"/>
      <c r="D130" s="293"/>
      <c r="E130" s="663"/>
      <c r="F130" s="662">
        <f>+(K26+K27+K28)/'[2]V. Sit.Con Proyecto'!F29</f>
        <v>68.0996592328961</v>
      </c>
    </row>
    <row r="131" spans="2:2">
      <c r="B131" s="295" t="s">
        <v>639</v>
      </c>
    </row>
    <row r="133" spans="2:2">
      <c r="B133" t="s">
        <v>640</v>
      </c>
    </row>
    <row r="134" spans="2:6">
      <c r="B134" s="180" t="s">
        <v>10</v>
      </c>
      <c r="C134" s="180" t="s">
        <v>11</v>
      </c>
      <c r="D134" s="180" t="s">
        <v>12</v>
      </c>
      <c r="E134" s="672" t="s">
        <v>493</v>
      </c>
      <c r="F134" s="672" t="s">
        <v>607</v>
      </c>
    </row>
    <row r="135" spans="2:6">
      <c r="B135" s="206" t="s">
        <v>641</v>
      </c>
      <c r="C135" s="206"/>
      <c r="D135" s="206"/>
      <c r="E135" s="206"/>
      <c r="F135" s="206"/>
    </row>
    <row r="136" spans="2:6">
      <c r="B136" s="194" t="s">
        <v>642</v>
      </c>
      <c r="C136" s="195" t="s">
        <v>527</v>
      </c>
      <c r="D136" s="195">
        <v>1</v>
      </c>
      <c r="E136" s="639">
        <v>58000</v>
      </c>
      <c r="F136" s="639">
        <f>+D136*E136</f>
        <v>58000</v>
      </c>
    </row>
    <row r="137" spans="2:6">
      <c r="B137" s="194" t="s">
        <v>643</v>
      </c>
      <c r="C137" s="195" t="s">
        <v>527</v>
      </c>
      <c r="D137" s="195">
        <v>2</v>
      </c>
      <c r="E137" s="639">
        <v>33000</v>
      </c>
      <c r="F137" s="639">
        <f t="shared" ref="F137:F143" si="16">+D137*E137</f>
        <v>66000</v>
      </c>
    </row>
    <row r="138" spans="2:6">
      <c r="B138" s="194" t="s">
        <v>612</v>
      </c>
      <c r="C138" s="195" t="s">
        <v>527</v>
      </c>
      <c r="D138" s="195">
        <v>118</v>
      </c>
      <c r="E138" s="639">
        <v>10725</v>
      </c>
      <c r="F138" s="639">
        <f t="shared" si="16"/>
        <v>1265550</v>
      </c>
    </row>
    <row r="139" spans="2:6">
      <c r="B139" s="194" t="s">
        <v>537</v>
      </c>
      <c r="C139" s="195" t="s">
        <v>527</v>
      </c>
      <c r="D139" s="195">
        <v>1</v>
      </c>
      <c r="E139" s="639">
        <v>24750</v>
      </c>
      <c r="F139" s="639">
        <f t="shared" si="16"/>
        <v>24750</v>
      </c>
    </row>
    <row r="140" spans="2:6">
      <c r="B140" s="194" t="s">
        <v>644</v>
      </c>
      <c r="C140" s="195" t="s">
        <v>527</v>
      </c>
      <c r="D140" s="195">
        <v>14</v>
      </c>
      <c r="E140" s="639">
        <v>10725</v>
      </c>
      <c r="F140" s="639">
        <f t="shared" si="16"/>
        <v>150150</v>
      </c>
    </row>
    <row r="141" spans="2:6">
      <c r="B141" s="194" t="s">
        <v>645</v>
      </c>
      <c r="C141" s="195" t="s">
        <v>527</v>
      </c>
      <c r="D141" s="195">
        <v>1</v>
      </c>
      <c r="E141" s="639">
        <v>50750</v>
      </c>
      <c r="F141" s="639">
        <f t="shared" si="16"/>
        <v>50750</v>
      </c>
    </row>
    <row r="142" spans="2:6">
      <c r="B142" s="194" t="s">
        <v>546</v>
      </c>
      <c r="C142" s="195" t="s">
        <v>527</v>
      </c>
      <c r="D142" s="195">
        <v>1</v>
      </c>
      <c r="E142" s="639">
        <v>36250</v>
      </c>
      <c r="F142" s="639">
        <f t="shared" si="16"/>
        <v>36250</v>
      </c>
    </row>
    <row r="143" spans="2:6">
      <c r="B143" s="194" t="s">
        <v>646</v>
      </c>
      <c r="C143" s="195" t="s">
        <v>527</v>
      </c>
      <c r="D143" s="195">
        <v>18</v>
      </c>
      <c r="E143" s="639">
        <v>10725</v>
      </c>
      <c r="F143" s="639">
        <f t="shared" si="16"/>
        <v>193050</v>
      </c>
    </row>
    <row r="144" spans="2:6">
      <c r="B144" s="191" t="s">
        <v>647</v>
      </c>
      <c r="C144" s="192"/>
      <c r="D144" s="193">
        <f>+SUM(D136:D143)</f>
        <v>156</v>
      </c>
      <c r="E144" s="638">
        <f>+SUM(E136:E143)</f>
        <v>234925</v>
      </c>
      <c r="F144" s="638">
        <f>+SUM(F136:F143)</f>
        <v>1844500</v>
      </c>
    </row>
    <row r="145" spans="2:6">
      <c r="B145" s="206" t="s">
        <v>559</v>
      </c>
      <c r="C145" s="206"/>
      <c r="D145" s="206"/>
      <c r="E145" s="206"/>
      <c r="F145" s="206"/>
    </row>
    <row r="146" spans="2:11">
      <c r="B146" s="187" t="s">
        <v>560</v>
      </c>
      <c r="C146" s="195" t="s">
        <v>561</v>
      </c>
      <c r="D146" s="195">
        <v>1</v>
      </c>
      <c r="E146" s="639">
        <v>5000</v>
      </c>
      <c r="F146" s="639">
        <f>+D146*E146</f>
        <v>5000</v>
      </c>
      <c r="K146" s="229"/>
    </row>
    <row r="147" spans="2:6">
      <c r="B147" s="187" t="s">
        <v>562</v>
      </c>
      <c r="C147" s="195" t="s">
        <v>561</v>
      </c>
      <c r="D147" s="195">
        <v>1</v>
      </c>
      <c r="E147" s="639">
        <v>1500</v>
      </c>
      <c r="F147" s="639">
        <f t="shared" ref="F147:F152" si="17">+D147*E147</f>
        <v>1500</v>
      </c>
    </row>
    <row r="148" spans="2:6">
      <c r="B148" s="187" t="s">
        <v>564</v>
      </c>
      <c r="C148" s="195" t="s">
        <v>561</v>
      </c>
      <c r="D148" s="195">
        <v>1</v>
      </c>
      <c r="E148" s="639">
        <v>1250</v>
      </c>
      <c r="F148" s="639">
        <f t="shared" si="17"/>
        <v>1250</v>
      </c>
    </row>
    <row r="149" ht="30" spans="2:6">
      <c r="B149" s="187" t="s">
        <v>565</v>
      </c>
      <c r="C149" s="195" t="s">
        <v>561</v>
      </c>
      <c r="D149" s="195">
        <v>1</v>
      </c>
      <c r="E149" s="639">
        <v>30000</v>
      </c>
      <c r="F149" s="639">
        <f t="shared" si="17"/>
        <v>30000</v>
      </c>
    </row>
    <row r="150" spans="2:6">
      <c r="B150" s="187" t="s">
        <v>566</v>
      </c>
      <c r="C150" s="195" t="s">
        <v>561</v>
      </c>
      <c r="D150" s="195">
        <v>1</v>
      </c>
      <c r="E150" s="639">
        <v>7500</v>
      </c>
      <c r="F150" s="639">
        <f t="shared" si="17"/>
        <v>7500</v>
      </c>
    </row>
    <row r="151" spans="2:6">
      <c r="B151" s="187" t="s">
        <v>567</v>
      </c>
      <c r="C151" s="195" t="s">
        <v>561</v>
      </c>
      <c r="D151" s="195">
        <v>1</v>
      </c>
      <c r="E151" s="639">
        <v>3500</v>
      </c>
      <c r="F151" s="639">
        <f t="shared" si="17"/>
        <v>3500</v>
      </c>
    </row>
    <row r="152" spans="2:6">
      <c r="B152" s="187" t="s">
        <v>568</v>
      </c>
      <c r="C152" s="195" t="s">
        <v>561</v>
      </c>
      <c r="D152" s="195">
        <v>1</v>
      </c>
      <c r="E152" s="639">
        <v>3500</v>
      </c>
      <c r="F152" s="639">
        <f t="shared" si="17"/>
        <v>3500</v>
      </c>
    </row>
    <row r="153" spans="2:6">
      <c r="B153" s="284" t="s">
        <v>569</v>
      </c>
      <c r="C153" s="198"/>
      <c r="D153" s="192">
        <f>+SUM(D146:D152)</f>
        <v>7</v>
      </c>
      <c r="E153" s="646">
        <f t="shared" ref="E153:F153" si="18">+SUM(E146:E152)</f>
        <v>52250</v>
      </c>
      <c r="F153" s="646">
        <f t="shared" si="18"/>
        <v>52250</v>
      </c>
    </row>
    <row r="154" spans="2:6">
      <c r="B154" s="208" t="s">
        <v>530</v>
      </c>
      <c r="C154" s="208"/>
      <c r="D154" s="208"/>
      <c r="E154" s="208"/>
      <c r="F154" s="208"/>
    </row>
    <row r="155" spans="2:6">
      <c r="B155" s="187" t="s">
        <v>615</v>
      </c>
      <c r="C155" s="189" t="s">
        <v>96</v>
      </c>
      <c r="D155" s="333">
        <v>4500</v>
      </c>
      <c r="E155" s="643"/>
      <c r="F155" s="643"/>
    </row>
    <row r="156" spans="2:6">
      <c r="B156" s="187" t="s">
        <v>577</v>
      </c>
      <c r="C156" s="189" t="s">
        <v>35</v>
      </c>
      <c r="D156" s="195">
        <v>1.899</v>
      </c>
      <c r="E156" s="643"/>
      <c r="F156" s="643"/>
    </row>
    <row r="157" ht="30" spans="2:6">
      <c r="B157" s="187" t="s">
        <v>579</v>
      </c>
      <c r="C157" s="667">
        <f>+[3]Parametros!C12</f>
        <v>0.35</v>
      </c>
      <c r="D157" s="188">
        <f>+D156*C157</f>
        <v>0.66465</v>
      </c>
      <c r="E157" s="643"/>
      <c r="F157" s="643"/>
    </row>
    <row r="158" spans="2:6">
      <c r="B158" s="187" t="s">
        <v>580</v>
      </c>
      <c r="C158" s="189" t="s">
        <v>35</v>
      </c>
      <c r="D158" s="195">
        <f>+D156+D157</f>
        <v>2.56365</v>
      </c>
      <c r="E158" s="643"/>
      <c r="F158" s="643"/>
    </row>
    <row r="159" spans="2:6">
      <c r="B159" s="187" t="s">
        <v>582</v>
      </c>
      <c r="C159" s="189" t="s">
        <v>90</v>
      </c>
      <c r="D159" s="341">
        <f>+D158*D155</f>
        <v>11536.425</v>
      </c>
      <c r="E159" s="643"/>
      <c r="F159" s="643"/>
    </row>
    <row r="160" spans="2:6">
      <c r="B160" s="284" t="s">
        <v>648</v>
      </c>
      <c r="C160" s="198"/>
      <c r="D160" s="192">
        <v>1</v>
      </c>
      <c r="E160" s="638">
        <f>+D159</f>
        <v>11536.425</v>
      </c>
      <c r="F160" s="638">
        <f>+D160*E160</f>
        <v>11536.425</v>
      </c>
    </row>
    <row r="161" spans="2:6">
      <c r="B161" s="208" t="s">
        <v>617</v>
      </c>
      <c r="C161" s="208"/>
      <c r="D161" s="208"/>
      <c r="E161" s="208"/>
      <c r="F161" s="208"/>
    </row>
    <row r="162" spans="2:6">
      <c r="B162" s="187" t="s">
        <v>618</v>
      </c>
      <c r="C162" s="657" t="s">
        <v>561</v>
      </c>
      <c r="D162" s="195">
        <v>1</v>
      </c>
      <c r="E162" s="639">
        <v>7500</v>
      </c>
      <c r="F162" s="639">
        <f>+E162*D162</f>
        <v>7500</v>
      </c>
    </row>
    <row r="163" spans="2:6">
      <c r="B163" s="284" t="s">
        <v>619</v>
      </c>
      <c r="C163" s="198"/>
      <c r="D163" s="193">
        <f>+SUM(D162)</f>
        <v>1</v>
      </c>
      <c r="E163" s="638">
        <f>+SUM(E162)</f>
        <v>7500</v>
      </c>
      <c r="F163" s="638">
        <f>+SUM(F162)</f>
        <v>7500</v>
      </c>
    </row>
    <row r="164" spans="2:6">
      <c r="B164" s="208" t="s">
        <v>570</v>
      </c>
      <c r="C164" s="208"/>
      <c r="D164" s="208"/>
      <c r="E164" s="208"/>
      <c r="F164" s="208"/>
    </row>
    <row r="165" ht="30" spans="2:6">
      <c r="B165" s="187" t="s">
        <v>649</v>
      </c>
      <c r="C165" s="189" t="s">
        <v>561</v>
      </c>
      <c r="D165" s="203">
        <v>0.00166666666666667</v>
      </c>
      <c r="E165" s="637">
        <f>+('[3]Monto de Inversión'!E93-'[3]Monto de Inversión'!E94)/2</f>
        <v>261186439</v>
      </c>
      <c r="F165" s="665">
        <f>+D165*E165</f>
        <v>435310.731666667</v>
      </c>
    </row>
    <row r="166" spans="2:6">
      <c r="B166" s="187" t="s">
        <v>650</v>
      </c>
      <c r="C166" s="189" t="s">
        <v>561</v>
      </c>
      <c r="D166" s="297">
        <v>0.2</v>
      </c>
      <c r="E166" s="639">
        <f>+F165</f>
        <v>435310.731666667</v>
      </c>
      <c r="F166" s="643">
        <f>+D166*E166</f>
        <v>87062.1463333333</v>
      </c>
    </row>
    <row r="167" ht="30" spans="2:6">
      <c r="B167" s="187" t="s">
        <v>651</v>
      </c>
      <c r="C167" s="189" t="s">
        <v>652</v>
      </c>
      <c r="D167" s="189">
        <v>5</v>
      </c>
      <c r="E167" s="639">
        <v>7000</v>
      </c>
      <c r="F167" s="643">
        <f>+D167*E167</f>
        <v>35000</v>
      </c>
    </row>
    <row r="168" ht="30" spans="2:6">
      <c r="B168" s="187" t="s">
        <v>653</v>
      </c>
      <c r="C168" s="189" t="s">
        <v>561</v>
      </c>
      <c r="D168" s="203">
        <v>0.00833333333333333</v>
      </c>
      <c r="E168" s="639">
        <f>+E165*0.1</f>
        <v>26118643.9</v>
      </c>
      <c r="F168" s="643">
        <f>+D168*E168</f>
        <v>217655.365833333</v>
      </c>
    </row>
    <row r="169" spans="2:6">
      <c r="B169" s="284" t="s">
        <v>654</v>
      </c>
      <c r="C169" s="198"/>
      <c r="D169" s="193"/>
      <c r="E169" s="638">
        <f>+SUM(E165:E168)</f>
        <v>287747393.631667</v>
      </c>
      <c r="F169" s="638">
        <f>+SUM(F165:F168)</f>
        <v>775028.243833333</v>
      </c>
    </row>
    <row r="170" spans="2:6">
      <c r="B170" s="208" t="s">
        <v>620</v>
      </c>
      <c r="C170" s="208"/>
      <c r="D170" s="208"/>
      <c r="E170" s="208"/>
      <c r="F170" s="208"/>
    </row>
    <row r="171" spans="2:6">
      <c r="B171" s="208" t="s">
        <v>655</v>
      </c>
      <c r="C171" s="208"/>
      <c r="D171" s="208"/>
      <c r="E171" s="208"/>
      <c r="F171" s="208"/>
    </row>
    <row r="172" spans="2:6">
      <c r="B172" s="187" t="s">
        <v>576</v>
      </c>
      <c r="C172" s="189" t="s">
        <v>96</v>
      </c>
      <c r="D172" s="640">
        <v>458377.92</v>
      </c>
      <c r="E172" s="643"/>
      <c r="F172" s="643"/>
    </row>
    <row r="173" spans="2:6">
      <c r="B173" s="187" t="s">
        <v>577</v>
      </c>
      <c r="C173" s="189" t="s">
        <v>35</v>
      </c>
      <c r="D173" s="189">
        <f>+[3]Parametros!C11</f>
        <v>1.899</v>
      </c>
      <c r="E173" s="643"/>
      <c r="F173" s="643"/>
    </row>
    <row r="174" ht="30" spans="2:6">
      <c r="B174" s="187" t="s">
        <v>579</v>
      </c>
      <c r="C174" s="667">
        <f>+[3]Parametros!C12</f>
        <v>0.35</v>
      </c>
      <c r="D174" s="189">
        <f>+C174*D173</f>
        <v>0.66465</v>
      </c>
      <c r="E174" s="643"/>
      <c r="F174" s="643"/>
    </row>
    <row r="175" spans="2:6">
      <c r="B175" s="187" t="s">
        <v>580</v>
      </c>
      <c r="C175" s="189" t="s">
        <v>35</v>
      </c>
      <c r="D175" s="189">
        <f>+D174+D173</f>
        <v>2.56365</v>
      </c>
      <c r="E175" s="643"/>
      <c r="F175" s="643"/>
    </row>
    <row r="176" spans="2:6">
      <c r="B176" s="284" t="s">
        <v>633</v>
      </c>
      <c r="C176" s="198"/>
      <c r="D176" s="192"/>
      <c r="E176" s="638">
        <f>+D175</f>
        <v>2.56365</v>
      </c>
      <c r="F176" s="638">
        <f>+E176*D172</f>
        <v>1175120.554608</v>
      </c>
    </row>
    <row r="177" spans="2:6">
      <c r="B177" s="208" t="s">
        <v>656</v>
      </c>
      <c r="C177" s="208"/>
      <c r="D177" s="208"/>
      <c r="E177" s="208"/>
      <c r="F177" s="208"/>
    </row>
    <row r="178" spans="2:6">
      <c r="B178" s="187" t="s">
        <v>657</v>
      </c>
      <c r="C178" s="189" t="s">
        <v>658</v>
      </c>
      <c r="D178" s="298">
        <v>412508.4</v>
      </c>
      <c r="E178" s="643"/>
      <c r="F178" s="643"/>
    </row>
    <row r="179" spans="2:6">
      <c r="B179" s="187" t="s">
        <v>659</v>
      </c>
      <c r="C179" s="189" t="s">
        <v>660</v>
      </c>
      <c r="D179" s="341">
        <v>5527.99570010668</v>
      </c>
      <c r="E179" s="643"/>
      <c r="F179" s="643"/>
    </row>
    <row r="180" spans="2:6">
      <c r="B180" s="187" t="s">
        <v>661</v>
      </c>
      <c r="C180" s="189" t="s">
        <v>662</v>
      </c>
      <c r="D180" s="195">
        <v>270</v>
      </c>
      <c r="E180" s="643"/>
      <c r="F180" s="643"/>
    </row>
    <row r="181" spans="2:6">
      <c r="B181" s="284" t="s">
        <v>663</v>
      </c>
      <c r="C181" s="198"/>
      <c r="D181" s="193"/>
      <c r="E181" s="638">
        <f>+D180</f>
        <v>270</v>
      </c>
      <c r="F181" s="638">
        <f>+E181*D179</f>
        <v>1492558.8390288</v>
      </c>
    </row>
    <row r="182" spans="2:6">
      <c r="B182" s="208" t="s">
        <v>664</v>
      </c>
      <c r="C182" s="208"/>
      <c r="D182" s="208"/>
      <c r="E182" s="208"/>
      <c r="F182" s="208"/>
    </row>
    <row r="183" spans="2:6">
      <c r="B183" s="194" t="s">
        <v>665</v>
      </c>
      <c r="C183" s="189" t="s">
        <v>666</v>
      </c>
      <c r="D183" s="298">
        <f>+D178</f>
        <v>412508.4</v>
      </c>
      <c r="E183" s="643"/>
      <c r="F183" s="643"/>
    </row>
    <row r="184" spans="2:6">
      <c r="B184" s="299" t="s">
        <v>667</v>
      </c>
      <c r="C184" s="189" t="s">
        <v>668</v>
      </c>
      <c r="D184" s="341">
        <v>1130.16</v>
      </c>
      <c r="E184" s="643"/>
      <c r="F184" s="643"/>
    </row>
    <row r="185" spans="2:6">
      <c r="B185" s="299"/>
      <c r="C185" s="189" t="s">
        <v>669</v>
      </c>
      <c r="D185" s="289">
        <f>+D186/D184</f>
        <v>183.266946121984</v>
      </c>
      <c r="E185" s="643"/>
      <c r="F185" s="643"/>
    </row>
    <row r="186" spans="2:6">
      <c r="B186" s="299"/>
      <c r="C186" s="189" t="s">
        <v>670</v>
      </c>
      <c r="D186" s="341">
        <v>207120.971829221</v>
      </c>
      <c r="E186" s="643"/>
      <c r="F186" s="643"/>
    </row>
    <row r="187" spans="2:6">
      <c r="B187" s="299"/>
      <c r="C187" s="189" t="s">
        <v>671</v>
      </c>
      <c r="D187" s="341">
        <f>+D183*D185/(12*1000)</f>
        <v>6299.92955980548</v>
      </c>
      <c r="E187" s="643"/>
      <c r="F187" s="643"/>
    </row>
    <row r="188" spans="2:6">
      <c r="B188" s="195" t="s">
        <v>672</v>
      </c>
      <c r="C188" s="189" t="s">
        <v>673</v>
      </c>
      <c r="D188" s="673">
        <v>60</v>
      </c>
      <c r="E188" s="643"/>
      <c r="F188" s="643"/>
    </row>
    <row r="189" spans="2:6">
      <c r="B189" s="284" t="s">
        <v>674</v>
      </c>
      <c r="C189" s="198"/>
      <c r="D189" s="193">
        <f>+D187</f>
        <v>6299.92955980548</v>
      </c>
      <c r="E189" s="646">
        <f>+D188</f>
        <v>60</v>
      </c>
      <c r="F189" s="646">
        <f>+E189*D189</f>
        <v>377995.773588329</v>
      </c>
    </row>
    <row r="190" spans="2:2">
      <c r="B190" s="295" t="s">
        <v>639</v>
      </c>
    </row>
    <row r="192" spans="2:2">
      <c r="B192" t="s">
        <v>675</v>
      </c>
    </row>
    <row r="193" spans="2:6">
      <c r="B193" s="180" t="s">
        <v>10</v>
      </c>
      <c r="C193" s="180" t="s">
        <v>11</v>
      </c>
      <c r="D193" s="180" t="s">
        <v>12</v>
      </c>
      <c r="E193" s="672" t="s">
        <v>493</v>
      </c>
      <c r="F193" s="672" t="s">
        <v>607</v>
      </c>
    </row>
    <row r="194" ht="30" spans="2:6">
      <c r="B194" s="187" t="s">
        <v>676</v>
      </c>
      <c r="C194" s="189" t="s">
        <v>561</v>
      </c>
      <c r="D194" s="189">
        <v>1</v>
      </c>
      <c r="E194" s="637">
        <v>15000</v>
      </c>
      <c r="F194" s="637">
        <f>+E194*D194</f>
        <v>15000</v>
      </c>
    </row>
    <row r="195" spans="2:6">
      <c r="B195" s="187" t="s">
        <v>677</v>
      </c>
      <c r="C195" s="189" t="s">
        <v>561</v>
      </c>
      <c r="D195" s="189">
        <v>1</v>
      </c>
      <c r="E195" s="637">
        <v>15000</v>
      </c>
      <c r="F195" s="637">
        <f t="shared" ref="F195:F196" si="19">+E195*D195</f>
        <v>15000</v>
      </c>
    </row>
    <row r="196" ht="30" spans="2:6">
      <c r="B196" s="187" t="s">
        <v>678</v>
      </c>
      <c r="C196" s="189" t="s">
        <v>561</v>
      </c>
      <c r="D196" s="189">
        <v>1</v>
      </c>
      <c r="E196" s="637">
        <v>7500</v>
      </c>
      <c r="F196" s="637">
        <f t="shared" si="19"/>
        <v>7500</v>
      </c>
    </row>
    <row r="197" spans="2:6">
      <c r="B197" s="302" t="s">
        <v>679</v>
      </c>
      <c r="C197" s="303"/>
      <c r="D197" s="303"/>
      <c r="E197" s="674"/>
      <c r="F197" s="675">
        <f>+SUM(F194:F196)</f>
        <v>37500</v>
      </c>
    </row>
    <row r="198" spans="2:6">
      <c r="B198" s="302" t="s">
        <v>680</v>
      </c>
      <c r="C198" s="303"/>
      <c r="D198" s="303"/>
      <c r="E198" s="674"/>
      <c r="F198" s="675">
        <f>+F197*12</f>
        <v>450000</v>
      </c>
    </row>
    <row r="199" spans="2:2">
      <c r="B199" s="295" t="s">
        <v>639</v>
      </c>
    </row>
    <row r="201" spans="2:2">
      <c r="B201" t="s">
        <v>681</v>
      </c>
    </row>
    <row r="202" spans="2:6">
      <c r="B202" s="180" t="s">
        <v>10</v>
      </c>
      <c r="C202" s="180" t="s">
        <v>11</v>
      </c>
      <c r="D202" s="180" t="s">
        <v>12</v>
      </c>
      <c r="E202" s="672" t="s">
        <v>493</v>
      </c>
      <c r="F202" s="672" t="s">
        <v>607</v>
      </c>
    </row>
    <row r="203" spans="2:6">
      <c r="B203" s="676" t="s">
        <v>453</v>
      </c>
      <c r="C203" s="189" t="s">
        <v>47</v>
      </c>
      <c r="D203" s="667">
        <v>0.06</v>
      </c>
      <c r="E203" s="637">
        <f>+'[2]IV.3.Costos de Inversión Alt'!E21</f>
        <v>411065133.91</v>
      </c>
      <c r="F203" s="637">
        <f>+E203*D203/12</f>
        <v>2055325.66955</v>
      </c>
    </row>
    <row r="204" spans="2:6">
      <c r="B204" s="677" t="s">
        <v>682</v>
      </c>
      <c r="C204" s="678"/>
      <c r="D204" s="679"/>
      <c r="E204" s="680"/>
      <c r="F204" s="680">
        <f>+F203</f>
        <v>2055325.66955</v>
      </c>
    </row>
    <row r="205" spans="2:6">
      <c r="B205" s="681" t="s">
        <v>523</v>
      </c>
      <c r="C205" s="682"/>
      <c r="D205" s="682"/>
      <c r="E205" s="682"/>
      <c r="F205" s="683"/>
    </row>
    <row r="206" spans="2:6">
      <c r="B206" s="187" t="s">
        <v>526</v>
      </c>
      <c r="C206" s="189" t="s">
        <v>527</v>
      </c>
      <c r="D206" s="666">
        <v>1</v>
      </c>
      <c r="E206" s="637">
        <v>36250</v>
      </c>
      <c r="F206" s="637">
        <f>+E206+D206</f>
        <v>36251</v>
      </c>
    </row>
    <row r="207" ht="30" spans="2:6">
      <c r="B207" s="187" t="s">
        <v>529</v>
      </c>
      <c r="C207" s="189" t="s">
        <v>527</v>
      </c>
      <c r="D207" s="666">
        <v>1</v>
      </c>
      <c r="E207" s="637">
        <v>26100</v>
      </c>
      <c r="F207" s="637">
        <f t="shared" ref="F207:F210" si="20">+E207+D207</f>
        <v>26101</v>
      </c>
    </row>
    <row r="208" spans="2:6">
      <c r="B208" s="187" t="s">
        <v>539</v>
      </c>
      <c r="C208" s="189" t="s">
        <v>527</v>
      </c>
      <c r="D208" s="666">
        <v>2</v>
      </c>
      <c r="E208" s="637">
        <v>15675</v>
      </c>
      <c r="F208" s="637">
        <f t="shared" si="20"/>
        <v>15677</v>
      </c>
    </row>
    <row r="209" spans="2:6">
      <c r="B209" s="187" t="s">
        <v>540</v>
      </c>
      <c r="C209" s="189" t="s">
        <v>527</v>
      </c>
      <c r="D209" s="666">
        <v>2</v>
      </c>
      <c r="E209" s="637">
        <v>11550</v>
      </c>
      <c r="F209" s="637">
        <f t="shared" si="20"/>
        <v>11552</v>
      </c>
    </row>
    <row r="210" spans="2:6">
      <c r="B210" s="187" t="s">
        <v>533</v>
      </c>
      <c r="C210" s="189" t="s">
        <v>527</v>
      </c>
      <c r="D210" s="666">
        <v>4</v>
      </c>
      <c r="E210" s="637">
        <v>16500</v>
      </c>
      <c r="F210" s="637">
        <f t="shared" si="20"/>
        <v>16504</v>
      </c>
    </row>
    <row r="211" spans="2:6">
      <c r="B211" s="677" t="s">
        <v>683</v>
      </c>
      <c r="C211" s="678"/>
      <c r="D211" s="679"/>
      <c r="E211" s="680"/>
      <c r="F211" s="680">
        <f>+SUM(F206:F210)</f>
        <v>106085</v>
      </c>
    </row>
    <row r="212" spans="2:6">
      <c r="B212" s="681" t="s">
        <v>655</v>
      </c>
      <c r="C212" s="682"/>
      <c r="D212" s="682"/>
      <c r="E212" s="682"/>
      <c r="F212" s="683"/>
    </row>
    <row r="213" spans="2:6">
      <c r="B213" s="187" t="s">
        <v>576</v>
      </c>
      <c r="C213" s="189" t="s">
        <v>96</v>
      </c>
      <c r="D213" s="640">
        <v>17000</v>
      </c>
      <c r="E213" s="637"/>
      <c r="F213" s="637"/>
    </row>
    <row r="214" spans="2:6">
      <c r="B214" s="187" t="s">
        <v>577</v>
      </c>
      <c r="C214" s="189" t="s">
        <v>35</v>
      </c>
      <c r="D214" s="189">
        <f>+D173</f>
        <v>1.899</v>
      </c>
      <c r="E214" s="637"/>
      <c r="F214" s="637"/>
    </row>
    <row r="215" ht="30" spans="2:6">
      <c r="B215" s="187" t="s">
        <v>579</v>
      </c>
      <c r="C215" s="667">
        <v>0.35</v>
      </c>
      <c r="D215" s="189">
        <f>+D174</f>
        <v>0.66465</v>
      </c>
      <c r="E215" s="637"/>
      <c r="F215" s="637"/>
    </row>
    <row r="216" spans="2:6">
      <c r="B216" s="187" t="s">
        <v>580</v>
      </c>
      <c r="C216" s="189" t="s">
        <v>35</v>
      </c>
      <c r="D216" s="189">
        <f>+D215+D214</f>
        <v>2.56365</v>
      </c>
      <c r="E216" s="637"/>
      <c r="F216" s="637"/>
    </row>
    <row r="217" spans="2:6">
      <c r="B217" s="677" t="s">
        <v>684</v>
      </c>
      <c r="C217" s="678"/>
      <c r="D217" s="679"/>
      <c r="E217" s="680">
        <f>+D216</f>
        <v>2.56365</v>
      </c>
      <c r="F217" s="680">
        <f>+E217*D213</f>
        <v>43582.05</v>
      </c>
    </row>
    <row r="218" spans="2:6">
      <c r="B218" s="684" t="s">
        <v>679</v>
      </c>
      <c r="C218" s="685"/>
      <c r="D218" s="685"/>
      <c r="E218" s="686"/>
      <c r="F218" s="675">
        <f>+F217+F211+F204</f>
        <v>2204992.71955</v>
      </c>
    </row>
  </sheetData>
  <mergeCells count="37">
    <mergeCell ref="B2:P2"/>
    <mergeCell ref="B4:P4"/>
    <mergeCell ref="O7:P7"/>
    <mergeCell ref="Q7:R7"/>
    <mergeCell ref="S7:T7"/>
    <mergeCell ref="U7:V7"/>
    <mergeCell ref="B57:D57"/>
    <mergeCell ref="B58:F58"/>
    <mergeCell ref="B68:F68"/>
    <mergeCell ref="B77:F77"/>
    <mergeCell ref="B84:F84"/>
    <mergeCell ref="B88:F88"/>
    <mergeCell ref="B97:F97"/>
    <mergeCell ref="B104:F104"/>
    <mergeCell ref="B108:F108"/>
    <mergeCell ref="B109:F109"/>
    <mergeCell ref="B116:F116"/>
    <mergeCell ref="B127:F127"/>
    <mergeCell ref="B135:F135"/>
    <mergeCell ref="B145:F145"/>
    <mergeCell ref="B154:F154"/>
    <mergeCell ref="B161:F161"/>
    <mergeCell ref="B164:F164"/>
    <mergeCell ref="B170:F170"/>
    <mergeCell ref="B171:F171"/>
    <mergeCell ref="B177:F177"/>
    <mergeCell ref="B182:F182"/>
    <mergeCell ref="B204:D204"/>
    <mergeCell ref="B205:F205"/>
    <mergeCell ref="B211:D211"/>
    <mergeCell ref="B212:F212"/>
    <mergeCell ref="B217:D217"/>
    <mergeCell ref="B218:E218"/>
    <mergeCell ref="B184:B187"/>
    <mergeCell ref="W7:W8"/>
    <mergeCell ref="X7:X8"/>
    <mergeCell ref="Y7:Y8"/>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249977111117893"/>
  </sheetPr>
  <dimension ref="A1:P208"/>
  <sheetViews>
    <sheetView zoomScale="70" zoomScaleNormal="70" topLeftCell="A110" workbookViewId="0">
      <selection activeCell="K115" sqref="K115:K155"/>
    </sheetView>
  </sheetViews>
  <sheetFormatPr defaultColWidth="12" defaultRowHeight="15"/>
  <cols>
    <col min="1" max="1" width="5.55238095238095" customWidth="1"/>
    <col min="2" max="2" width="15.8857142857143" customWidth="1"/>
    <col min="3" max="3" width="18.3333333333333" customWidth="1"/>
    <col min="4" max="4" width="19.6666666666667" customWidth="1"/>
    <col min="5" max="5" width="21.6666666666667" customWidth="1"/>
    <col min="6" max="6" width="20.3333333333333" customWidth="1"/>
    <col min="7" max="7" width="20.8857142857143" customWidth="1"/>
    <col min="8" max="8" width="18.552380952381" customWidth="1"/>
    <col min="9" max="9" width="19.3333333333333" customWidth="1"/>
    <col min="10" max="10" width="18.8857142857143" customWidth="1"/>
    <col min="11" max="11" width="13.4380952380952" customWidth="1"/>
    <col min="12" max="12" width="16.3333333333333" customWidth="1"/>
    <col min="13" max="13" width="14.552380952381" customWidth="1"/>
    <col min="14" max="14" width="19.6666666666667" customWidth="1"/>
    <col min="15" max="15" width="18.4380952380952" customWidth="1"/>
    <col min="19" max="19" width="16.6666666666667" customWidth="1"/>
    <col min="20" max="20" width="15.4380952380952" customWidth="1"/>
  </cols>
  <sheetData>
    <row r="1" s="588" customFormat="1" ht="14.25"/>
    <row r="2" s="588" customFormat="1" ht="21" spans="2:16">
      <c r="B2" s="2" t="s">
        <v>0</v>
      </c>
      <c r="C2" s="2"/>
      <c r="D2" s="2"/>
      <c r="E2" s="2"/>
      <c r="F2" s="2"/>
      <c r="G2" s="2"/>
      <c r="H2" s="2"/>
      <c r="I2" s="2"/>
      <c r="J2" s="2"/>
      <c r="K2" s="2"/>
      <c r="L2" s="2"/>
      <c r="M2" s="2"/>
      <c r="N2" s="2"/>
      <c r="O2" s="2"/>
      <c r="P2" s="2"/>
    </row>
    <row r="3" s="589" customFormat="1" customHeight="1" spans="1:13">
      <c r="A3" s="588"/>
      <c r="B3" s="591"/>
      <c r="C3" s="591"/>
      <c r="D3" s="591"/>
      <c r="E3" s="591"/>
      <c r="F3" s="591"/>
      <c r="G3" s="591"/>
      <c r="H3" s="591"/>
      <c r="I3" s="591"/>
      <c r="J3" s="591"/>
      <c r="K3" s="591"/>
      <c r="L3" s="591"/>
      <c r="M3" s="588"/>
    </row>
    <row r="4" s="589" customFormat="1" ht="15.75" customHeight="1" spans="1:16">
      <c r="A4" s="588"/>
      <c r="B4" s="592" t="s">
        <v>685</v>
      </c>
      <c r="C4" s="592"/>
      <c r="D4" s="592"/>
      <c r="E4" s="592"/>
      <c r="F4" s="592"/>
      <c r="G4" s="592"/>
      <c r="H4" s="592"/>
      <c r="I4" s="592"/>
      <c r="J4" s="592"/>
      <c r="K4" s="592"/>
      <c r="L4" s="592"/>
      <c r="M4" s="592"/>
      <c r="N4" s="592"/>
      <c r="O4" s="592"/>
      <c r="P4" s="592"/>
    </row>
    <row r="5" ht="15.75" spans="1:12">
      <c r="A5" s="593"/>
      <c r="B5" s="593"/>
      <c r="C5" s="594"/>
      <c r="D5" s="594"/>
      <c r="E5" s="594"/>
      <c r="F5" s="594"/>
      <c r="G5" s="594"/>
      <c r="H5" s="595"/>
      <c r="I5" s="595"/>
      <c r="J5" s="595"/>
      <c r="K5" s="595"/>
      <c r="L5" s="595"/>
    </row>
    <row r="6" ht="15.75" spans="1:7">
      <c r="A6" s="593"/>
      <c r="B6" s="596" t="s">
        <v>686</v>
      </c>
      <c r="C6" s="593"/>
      <c r="D6" s="593"/>
      <c r="E6" s="597"/>
      <c r="F6" s="597"/>
      <c r="G6" s="593"/>
    </row>
    <row r="7" ht="14.4" customHeight="1" spans="2:6">
      <c r="B7" s="598" t="s">
        <v>200</v>
      </c>
      <c r="C7" s="598"/>
      <c r="D7" s="599" t="s">
        <v>687</v>
      </c>
      <c r="E7" s="599" t="s">
        <v>688</v>
      </c>
      <c r="F7" s="599" t="s">
        <v>689</v>
      </c>
    </row>
    <row r="8" ht="41.4" customHeight="1" spans="2:6">
      <c r="B8" s="598"/>
      <c r="C8" s="598"/>
      <c r="D8" s="600"/>
      <c r="E8" s="600"/>
      <c r="F8" s="600"/>
    </row>
    <row r="9" spans="2:11">
      <c r="B9" s="601">
        <v>0</v>
      </c>
      <c r="C9" s="209">
        <v>2024</v>
      </c>
      <c r="D9" s="602">
        <f>+'III. Sit. Actual O-D'!U13</f>
        <v>424566.972770869</v>
      </c>
      <c r="E9" s="602">
        <f>+D9*'I. Parametros Grales'!$D$231</f>
        <v>424566.972770869</v>
      </c>
      <c r="F9" s="210">
        <f>+E9-D9</f>
        <v>0</v>
      </c>
      <c r="H9" s="603"/>
      <c r="I9" s="607"/>
      <c r="J9" s="607"/>
      <c r="K9" s="608"/>
    </row>
    <row r="10" spans="2:8">
      <c r="B10" s="601">
        <f t="shared" ref="B10:B48" si="0">B9+1</f>
        <v>1</v>
      </c>
      <c r="C10" s="209">
        <v>2025</v>
      </c>
      <c r="D10" s="602">
        <f>+'III. Sit. Actual O-D'!U14</f>
        <v>429674.887692447</v>
      </c>
      <c r="E10" s="602">
        <f>+D10*'I. Parametros Grales'!$D$231</f>
        <v>429674.887692447</v>
      </c>
      <c r="F10" s="210">
        <f t="shared" ref="F10:F48" si="1">+E10-D10</f>
        <v>0</v>
      </c>
      <c r="H10" s="603"/>
    </row>
    <row r="11" spans="2:8">
      <c r="B11" s="601">
        <v>2</v>
      </c>
      <c r="C11" s="209">
        <v>2026</v>
      </c>
      <c r="D11" s="602">
        <f>+'III. Sit. Actual O-D'!U15</f>
        <v>434534.535334391</v>
      </c>
      <c r="E11" s="602">
        <f>+D11*'I. Parametros Grales'!$D$231</f>
        <v>434534.535334391</v>
      </c>
      <c r="F11" s="210">
        <f t="shared" si="1"/>
        <v>0</v>
      </c>
      <c r="H11" s="603"/>
    </row>
    <row r="12" spans="2:8">
      <c r="B12" s="601">
        <f t="shared" si="0"/>
        <v>3</v>
      </c>
      <c r="C12" s="209">
        <v>2027</v>
      </c>
      <c r="D12" s="602">
        <f>+'III. Sit. Actual O-D'!U16</f>
        <v>439116.097973491</v>
      </c>
      <c r="E12" s="602">
        <f>+D12*'I. Parametros Grales'!$D$231</f>
        <v>439116.097973491</v>
      </c>
      <c r="F12" s="210">
        <f t="shared" si="1"/>
        <v>0</v>
      </c>
      <c r="H12" s="603"/>
    </row>
    <row r="13" spans="2:8">
      <c r="B13" s="601">
        <v>4</v>
      </c>
      <c r="C13" s="209">
        <v>2028</v>
      </c>
      <c r="D13" s="602">
        <f>+'III. Sit. Actual O-D'!U17</f>
        <v>443416.583150069</v>
      </c>
      <c r="E13" s="602">
        <f>+D13*'I. Parametros Grales'!$D$231</f>
        <v>443416.583150069</v>
      </c>
      <c r="F13" s="210">
        <f t="shared" si="1"/>
        <v>0</v>
      </c>
      <c r="H13" s="603"/>
    </row>
    <row r="14" spans="2:8">
      <c r="B14" s="601">
        <v>5</v>
      </c>
      <c r="C14" s="209">
        <v>2029</v>
      </c>
      <c r="D14" s="602">
        <f>+'III. Sit. Actual O-D'!U18</f>
        <v>447458.541185264</v>
      </c>
      <c r="E14" s="602">
        <f>+D14*'I. Parametros Grales'!$D$231</f>
        <v>447458.541185264</v>
      </c>
      <c r="F14" s="210">
        <f t="shared" si="1"/>
        <v>0</v>
      </c>
      <c r="H14" s="603"/>
    </row>
    <row r="15" spans="2:8">
      <c r="B15" s="601">
        <v>6</v>
      </c>
      <c r="C15" s="209">
        <v>2030</v>
      </c>
      <c r="D15" s="602">
        <f>+'III. Sit. Actual O-D'!U19</f>
        <v>451282.263411154</v>
      </c>
      <c r="E15" s="602">
        <f>+D15*'I. Parametros Grales'!$D$231</f>
        <v>451282.263411154</v>
      </c>
      <c r="F15" s="210">
        <f t="shared" si="1"/>
        <v>0</v>
      </c>
      <c r="H15" s="603"/>
    </row>
    <row r="16" spans="2:8">
      <c r="B16" s="601">
        <f t="shared" si="0"/>
        <v>7</v>
      </c>
      <c r="C16" s="209">
        <v>2031</v>
      </c>
      <c r="D16" s="602">
        <f>+'III. Sit. Actual O-D'!U20</f>
        <v>454930.07175746</v>
      </c>
      <c r="E16" s="602">
        <f>+D16*'I. Parametros Grales'!$D$231</f>
        <v>454930.07175746</v>
      </c>
      <c r="F16" s="210">
        <f t="shared" si="1"/>
        <v>0</v>
      </c>
      <c r="H16" s="603"/>
    </row>
    <row r="17" spans="2:8">
      <c r="B17" s="601">
        <f t="shared" si="0"/>
        <v>8</v>
      </c>
      <c r="C17" s="209">
        <v>2032</v>
      </c>
      <c r="D17" s="602">
        <f>+'III. Sit. Actual O-D'!U21</f>
        <v>458440.013211502</v>
      </c>
      <c r="E17" s="602">
        <f>+D17*'I. Parametros Grales'!$D$231</f>
        <v>458440.013211502</v>
      </c>
      <c r="F17" s="210">
        <f t="shared" si="1"/>
        <v>0</v>
      </c>
      <c r="H17" s="603"/>
    </row>
    <row r="18" spans="2:8">
      <c r="B18" s="601">
        <f t="shared" si="0"/>
        <v>9</v>
      </c>
      <c r="C18" s="209">
        <v>2033</v>
      </c>
      <c r="D18" s="602">
        <f>+'III. Sit. Actual O-D'!U22</f>
        <v>461846.821680245</v>
      </c>
      <c r="E18" s="602">
        <f>+D18*'I. Parametros Grales'!$D$231</f>
        <v>461846.821680245</v>
      </c>
      <c r="F18" s="210">
        <f t="shared" si="1"/>
        <v>0</v>
      </c>
      <c r="H18" s="603"/>
    </row>
    <row r="19" spans="2:8">
      <c r="B19" s="601">
        <f t="shared" si="0"/>
        <v>10</v>
      </c>
      <c r="C19" s="209">
        <v>2034</v>
      </c>
      <c r="D19" s="602">
        <f>+'III. Sit. Actual O-D'!U23</f>
        <v>465182.77297878</v>
      </c>
      <c r="E19" s="602">
        <f>+D19*'I. Parametros Grales'!$D$231</f>
        <v>465182.77297878</v>
      </c>
      <c r="F19" s="210">
        <f t="shared" si="1"/>
        <v>0</v>
      </c>
      <c r="H19" s="603"/>
    </row>
    <row r="20" spans="2:8">
      <c r="B20" s="601">
        <f t="shared" si="0"/>
        <v>11</v>
      </c>
      <c r="C20" s="209">
        <v>2035</v>
      </c>
      <c r="D20" s="602">
        <f>+'III. Sit. Actual O-D'!U24</f>
        <v>468459.195704453</v>
      </c>
      <c r="E20" s="602">
        <f>+D20*'I. Parametros Grales'!$D$231</f>
        <v>468459.195704453</v>
      </c>
      <c r="F20" s="210">
        <f t="shared" si="1"/>
        <v>0</v>
      </c>
      <c r="H20" s="603"/>
    </row>
    <row r="21" spans="2:8">
      <c r="B21" s="601">
        <f t="shared" si="0"/>
        <v>12</v>
      </c>
      <c r="C21" s="209">
        <v>2036</v>
      </c>
      <c r="D21" s="602">
        <f>+'III. Sit. Actual O-D'!U25</f>
        <v>471682.181650179</v>
      </c>
      <c r="E21" s="602">
        <f>+D21*'I. Parametros Grales'!$D$231</f>
        <v>471682.181650179</v>
      </c>
      <c r="F21" s="210">
        <f t="shared" si="1"/>
        <v>0</v>
      </c>
      <c r="H21" s="603"/>
    </row>
    <row r="22" spans="2:8">
      <c r="B22" s="601">
        <f t="shared" si="0"/>
        <v>13</v>
      </c>
      <c r="C22" s="209">
        <v>2037</v>
      </c>
      <c r="D22" s="602">
        <f>+'III. Sit. Actual O-D'!U26</f>
        <v>474836.875391133</v>
      </c>
      <c r="E22" s="602">
        <f>+D22*'I. Parametros Grales'!$D$231</f>
        <v>474836.875391133</v>
      </c>
      <c r="F22" s="210">
        <f t="shared" si="1"/>
        <v>0</v>
      </c>
      <c r="H22" s="603"/>
    </row>
    <row r="23" spans="2:8">
      <c r="B23" s="601">
        <f t="shared" si="0"/>
        <v>14</v>
      </c>
      <c r="C23" s="209">
        <v>2038</v>
      </c>
      <c r="D23" s="602">
        <f>+'III. Sit. Actual O-D'!U27</f>
        <v>477887.901778989</v>
      </c>
      <c r="E23" s="602">
        <f>+D23*'I. Parametros Grales'!$D$231</f>
        <v>477887.901778989</v>
      </c>
      <c r="F23" s="210">
        <f t="shared" si="1"/>
        <v>0</v>
      </c>
      <c r="H23" s="603"/>
    </row>
    <row r="24" spans="2:8">
      <c r="B24" s="601">
        <f t="shared" si="0"/>
        <v>15</v>
      </c>
      <c r="C24" s="209">
        <v>2039</v>
      </c>
      <c r="D24" s="602">
        <f>+'III. Sit. Actual O-D'!U28</f>
        <v>480789.198309434</v>
      </c>
      <c r="E24" s="602">
        <f>+D24*'I. Parametros Grales'!$D$231</f>
        <v>480789.198309434</v>
      </c>
      <c r="F24" s="210">
        <f t="shared" si="1"/>
        <v>0</v>
      </c>
      <c r="H24" s="603"/>
    </row>
    <row r="25" spans="2:8">
      <c r="B25" s="601">
        <f t="shared" si="0"/>
        <v>16</v>
      </c>
      <c r="C25" s="209">
        <v>2040</v>
      </c>
      <c r="D25" s="602">
        <f>+'III. Sit. Actual O-D'!U29</f>
        <v>483494.381857473</v>
      </c>
      <c r="E25" s="602">
        <f>+D25*'I. Parametros Grales'!$D$231</f>
        <v>483494.381857473</v>
      </c>
      <c r="F25" s="210">
        <f t="shared" si="1"/>
        <v>0</v>
      </c>
      <c r="H25" s="603"/>
    </row>
    <row r="26" spans="2:8">
      <c r="B26" s="601">
        <f t="shared" si="0"/>
        <v>17</v>
      </c>
      <c r="C26" s="209">
        <v>2041</v>
      </c>
      <c r="D26" s="602">
        <f>+'III. Sit. Actual O-D'!U30</f>
        <v>485963.374838146</v>
      </c>
      <c r="E26" s="602">
        <f>+D26*'I. Parametros Grales'!$D$231</f>
        <v>485963.374838146</v>
      </c>
      <c r="F26" s="210">
        <f t="shared" si="1"/>
        <v>0</v>
      </c>
      <c r="H26" s="603"/>
    </row>
    <row r="27" spans="2:8">
      <c r="B27" s="601">
        <f t="shared" si="0"/>
        <v>18</v>
      </c>
      <c r="C27" s="209">
        <v>2042</v>
      </c>
      <c r="D27" s="602">
        <f>+'III. Sit. Actual O-D'!U31</f>
        <v>488183.352424267</v>
      </c>
      <c r="E27" s="602">
        <f>+D27*'I. Parametros Grales'!$D$231</f>
        <v>488183.352424267</v>
      </c>
      <c r="F27" s="210">
        <f t="shared" si="1"/>
        <v>0</v>
      </c>
      <c r="H27" s="603"/>
    </row>
    <row r="28" spans="2:8">
      <c r="B28" s="601">
        <f t="shared" si="0"/>
        <v>19</v>
      </c>
      <c r="C28" s="209">
        <v>2043</v>
      </c>
      <c r="D28" s="602">
        <f>+'III. Sit. Actual O-D'!U32</f>
        <v>490153.352753794</v>
      </c>
      <c r="E28" s="602">
        <f>+D28*'I. Parametros Grales'!$D$231</f>
        <v>490153.352753794</v>
      </c>
      <c r="F28" s="210">
        <f t="shared" si="1"/>
        <v>0</v>
      </c>
      <c r="H28" s="603"/>
    </row>
    <row r="29" spans="2:8">
      <c r="B29" s="601">
        <f t="shared" si="0"/>
        <v>20</v>
      </c>
      <c r="C29" s="209">
        <v>2044</v>
      </c>
      <c r="D29" s="602">
        <f>+'III. Sit. Actual O-D'!U33</f>
        <v>491895.712400748</v>
      </c>
      <c r="E29" s="602">
        <f>+D29*'I. Parametros Grales'!$D$231</f>
        <v>491895.712400748</v>
      </c>
      <c r="F29" s="210">
        <f t="shared" si="1"/>
        <v>0</v>
      </c>
      <c r="H29" s="603"/>
    </row>
    <row r="30" spans="2:8">
      <c r="B30" s="601">
        <f t="shared" si="0"/>
        <v>21</v>
      </c>
      <c r="C30" s="209">
        <v>2045</v>
      </c>
      <c r="D30" s="602">
        <f>+'III. Sit. Actual O-D'!U34</f>
        <v>493430.416720827</v>
      </c>
      <c r="E30" s="602">
        <f>+D30*'I. Parametros Grales'!$D$231</f>
        <v>493430.416720827</v>
      </c>
      <c r="F30" s="210">
        <f t="shared" si="1"/>
        <v>0</v>
      </c>
      <c r="H30" s="603"/>
    </row>
    <row r="31" spans="2:8">
      <c r="B31" s="601">
        <f t="shared" si="0"/>
        <v>22</v>
      </c>
      <c r="C31" s="209">
        <v>2046</v>
      </c>
      <c r="D31" s="602">
        <f>+'III. Sit. Actual O-D'!U35</f>
        <v>494787.604057922</v>
      </c>
      <c r="E31" s="602">
        <f>+D31*'I. Parametros Grales'!$D$231</f>
        <v>494787.604057922</v>
      </c>
      <c r="F31" s="210">
        <f t="shared" si="1"/>
        <v>0</v>
      </c>
      <c r="H31" s="603"/>
    </row>
    <row r="32" spans="2:8">
      <c r="B32" s="601">
        <f t="shared" si="0"/>
        <v>23</v>
      </c>
      <c r="C32" s="209">
        <v>2047</v>
      </c>
      <c r="D32" s="602">
        <f>+'III. Sit. Actual O-D'!U36</f>
        <v>495996.878388124</v>
      </c>
      <c r="E32" s="602">
        <f>+D32*'I. Parametros Grales'!$D$231</f>
        <v>495996.878388124</v>
      </c>
      <c r="F32" s="210">
        <f t="shared" si="1"/>
        <v>0</v>
      </c>
      <c r="H32" s="603"/>
    </row>
    <row r="33" spans="2:8">
      <c r="B33" s="601">
        <f t="shared" si="0"/>
        <v>24</v>
      </c>
      <c r="C33" s="209">
        <v>2048</v>
      </c>
      <c r="D33" s="602">
        <f>+'III. Sit. Actual O-D'!U37</f>
        <v>497085.064974965</v>
      </c>
      <c r="E33" s="602">
        <f>+D33*'I. Parametros Grales'!$D$231</f>
        <v>497085.064974965</v>
      </c>
      <c r="F33" s="210">
        <f t="shared" si="1"/>
        <v>0</v>
      </c>
      <c r="H33" s="603"/>
    </row>
    <row r="34" spans="2:8">
      <c r="B34" s="601">
        <f t="shared" si="0"/>
        <v>25</v>
      </c>
      <c r="C34" s="209">
        <v>2049</v>
      </c>
      <c r="D34" s="602">
        <f>+'III. Sit. Actual O-D'!U38</f>
        <v>498070.973564988</v>
      </c>
      <c r="E34" s="602">
        <f>+D34*'I. Parametros Grales'!$D$231</f>
        <v>498070.973564988</v>
      </c>
      <c r="F34" s="210">
        <f t="shared" si="1"/>
        <v>0</v>
      </c>
      <c r="H34" s="603"/>
    </row>
    <row r="35" spans="2:8">
      <c r="B35" s="601">
        <f t="shared" si="0"/>
        <v>26</v>
      </c>
      <c r="C35" s="209">
        <v>2050</v>
      </c>
      <c r="D35" s="602">
        <f>+'III. Sit. Actual O-D'!U39</f>
        <v>498966.360249781</v>
      </c>
      <c r="E35" s="602">
        <f>+D35*'I. Parametros Grales'!$D$231</f>
        <v>498966.360249781</v>
      </c>
      <c r="F35" s="210">
        <f t="shared" si="1"/>
        <v>0</v>
      </c>
      <c r="H35" s="603"/>
    </row>
    <row r="36" spans="2:8">
      <c r="B36" s="601">
        <f t="shared" si="0"/>
        <v>27</v>
      </c>
      <c r="C36" s="209">
        <v>2051</v>
      </c>
      <c r="D36" s="602">
        <f>+'III. Sit. Actual O-D'!U40</f>
        <v>499770.156293744</v>
      </c>
      <c r="E36" s="602">
        <f>+D36*'I. Parametros Grales'!$D$231</f>
        <v>499770.156293744</v>
      </c>
      <c r="F36" s="210">
        <f t="shared" si="1"/>
        <v>0</v>
      </c>
      <c r="H36" s="603"/>
    </row>
    <row r="37" spans="2:8">
      <c r="B37" s="601">
        <f t="shared" si="0"/>
        <v>28</v>
      </c>
      <c r="C37" s="209">
        <v>2052</v>
      </c>
      <c r="D37" s="602">
        <f>+'III. Sit. Actual O-D'!U41</f>
        <v>500474.239306327</v>
      </c>
      <c r="E37" s="602">
        <f>+D37*'I. Parametros Grales'!$D$231</f>
        <v>500474.239306327</v>
      </c>
      <c r="F37" s="210">
        <f t="shared" si="1"/>
        <v>0</v>
      </c>
      <c r="H37" s="603"/>
    </row>
    <row r="38" spans="2:8">
      <c r="B38" s="601">
        <f t="shared" si="0"/>
        <v>29</v>
      </c>
      <c r="C38" s="209">
        <v>2053</v>
      </c>
      <c r="D38" s="602">
        <f>+'III. Sit. Actual O-D'!U42</f>
        <v>501055.95209283</v>
      </c>
      <c r="E38" s="602">
        <f>+D38*'I. Parametros Grales'!$D$231</f>
        <v>501055.95209283</v>
      </c>
      <c r="F38" s="210">
        <f t="shared" si="1"/>
        <v>0</v>
      </c>
      <c r="H38" s="603"/>
    </row>
    <row r="39" spans="2:8">
      <c r="B39" s="601">
        <f t="shared" si="0"/>
        <v>30</v>
      </c>
      <c r="C39" s="209">
        <v>2054</v>
      </c>
      <c r="D39" s="602">
        <f>+'III. Sit. Actual O-D'!U43</f>
        <v>501485.904424284</v>
      </c>
      <c r="E39" s="602">
        <f>+D39*'I. Parametros Grales'!$D$231</f>
        <v>501485.904424284</v>
      </c>
      <c r="F39" s="210">
        <f t="shared" si="1"/>
        <v>0</v>
      </c>
      <c r="H39" s="603"/>
    </row>
    <row r="40" spans="2:8">
      <c r="B40" s="601">
        <f t="shared" si="0"/>
        <v>31</v>
      </c>
      <c r="C40" s="209">
        <v>2055</v>
      </c>
      <c r="D40" s="602">
        <f>+'III. Sit. Actual O-D'!U44</f>
        <v>501737.484784275</v>
      </c>
      <c r="E40" s="602">
        <f>+D40*'I. Parametros Grales'!$D$231</f>
        <v>501737.484784275</v>
      </c>
      <c r="F40" s="210">
        <f t="shared" si="1"/>
        <v>0</v>
      </c>
      <c r="H40" s="603"/>
    </row>
    <row r="41" spans="2:8">
      <c r="B41" s="601">
        <f t="shared" si="0"/>
        <v>32</v>
      </c>
      <c r="C41" s="209">
        <v>2056</v>
      </c>
      <c r="D41" s="602">
        <f>+'III. Sit. Actual O-D'!U45</f>
        <v>501795.303380178</v>
      </c>
      <c r="E41" s="602">
        <f>+D41*'I. Parametros Grales'!$D$231</f>
        <v>501795.303380178</v>
      </c>
      <c r="F41" s="210">
        <f t="shared" si="1"/>
        <v>0</v>
      </c>
      <c r="H41" s="603"/>
    </row>
    <row r="42" spans="2:8">
      <c r="B42" s="601">
        <f t="shared" si="0"/>
        <v>33</v>
      </c>
      <c r="C42" s="209">
        <v>2057</v>
      </c>
      <c r="D42" s="602">
        <f>+'III. Sit. Actual O-D'!U46</f>
        <v>501650.810327201</v>
      </c>
      <c r="E42" s="602">
        <f>+D42*'I. Parametros Grales'!$D$231</f>
        <v>501650.810327201</v>
      </c>
      <c r="F42" s="210">
        <f t="shared" si="1"/>
        <v>0</v>
      </c>
      <c r="H42" s="603"/>
    </row>
    <row r="43" spans="2:8">
      <c r="B43" s="601">
        <f t="shared" si="0"/>
        <v>34</v>
      </c>
      <c r="C43" s="209">
        <v>2058</v>
      </c>
      <c r="D43" s="602">
        <f>+'III. Sit. Actual O-D'!U47</f>
        <v>501309.02868266</v>
      </c>
      <c r="E43" s="602">
        <f>+D43*'I. Parametros Grales'!$D$231</f>
        <v>501309.02868266</v>
      </c>
      <c r="F43" s="210">
        <f t="shared" si="1"/>
        <v>0</v>
      </c>
      <c r="H43" s="603"/>
    </row>
    <row r="44" spans="2:8">
      <c r="B44" s="601">
        <f t="shared" si="0"/>
        <v>35</v>
      </c>
      <c r="C44" s="209">
        <v>2059</v>
      </c>
      <c r="D44" s="602">
        <f>+'III. Sit. Actual O-D'!U48</f>
        <v>500783.85200934</v>
      </c>
      <c r="E44" s="602">
        <f>+D44*'I. Parametros Grales'!$D$231</f>
        <v>500783.85200934</v>
      </c>
      <c r="F44" s="210">
        <f t="shared" si="1"/>
        <v>0</v>
      </c>
      <c r="H44" s="603"/>
    </row>
    <row r="45" spans="2:8">
      <c r="B45" s="601">
        <f t="shared" si="0"/>
        <v>36</v>
      </c>
      <c r="C45" s="209">
        <v>2060</v>
      </c>
      <c r="D45" s="602">
        <f>+'III. Sit. Actual O-D'!U49</f>
        <v>500095.800030742</v>
      </c>
      <c r="E45" s="602">
        <f>+D45*'I. Parametros Grales'!$D$231</f>
        <v>500095.800030742</v>
      </c>
      <c r="F45" s="210">
        <f t="shared" si="1"/>
        <v>0</v>
      </c>
      <c r="H45" s="603"/>
    </row>
    <row r="46" spans="2:8">
      <c r="B46" s="601">
        <f t="shared" si="0"/>
        <v>37</v>
      </c>
      <c r="C46" s="209">
        <v>2061</v>
      </c>
      <c r="D46" s="602">
        <f>+'III. Sit. Actual O-D'!U50</f>
        <v>499262.506884248</v>
      </c>
      <c r="E46" s="602">
        <f>+D46*'I. Parametros Grales'!$D$231</f>
        <v>499262.506884248</v>
      </c>
      <c r="F46" s="210">
        <f t="shared" si="1"/>
        <v>0</v>
      </c>
      <c r="H46" s="603"/>
    </row>
    <row r="47" spans="2:8">
      <c r="B47" s="601">
        <f t="shared" si="0"/>
        <v>38</v>
      </c>
      <c r="C47" s="209">
        <v>2062</v>
      </c>
      <c r="D47" s="602">
        <f>+'III. Sit. Actual O-D'!U51</f>
        <v>498304.919787597</v>
      </c>
      <c r="E47" s="602">
        <f>+D47*'I. Parametros Grales'!$D$231</f>
        <v>498304.919787597</v>
      </c>
      <c r="F47" s="210">
        <f t="shared" si="1"/>
        <v>0</v>
      </c>
      <c r="H47" s="603"/>
    </row>
    <row r="48" spans="2:8">
      <c r="B48" s="601">
        <f t="shared" si="0"/>
        <v>39</v>
      </c>
      <c r="C48" s="209">
        <v>2063</v>
      </c>
      <c r="D48" s="602">
        <f>+'III. Sit. Actual O-D'!U52</f>
        <v>497245.909682606</v>
      </c>
      <c r="E48" s="602">
        <f>+D48*'I. Parametros Grales'!$D$231</f>
        <v>497245.909682606</v>
      </c>
      <c r="F48" s="210">
        <f t="shared" si="1"/>
        <v>0</v>
      </c>
      <c r="H48" s="603"/>
    </row>
    <row r="49" ht="15.75" spans="2:8">
      <c r="B49" s="604" t="s">
        <v>392</v>
      </c>
      <c r="C49" s="605"/>
      <c r="D49" s="606"/>
      <c r="E49" s="606"/>
      <c r="H49" s="603"/>
    </row>
    <row r="50" ht="15.75" spans="2:8">
      <c r="B50" s="604"/>
      <c r="C50" s="605"/>
      <c r="D50" s="606"/>
      <c r="E50" s="606"/>
      <c r="F50" s="229"/>
      <c r="G50" s="606"/>
      <c r="H50" s="603"/>
    </row>
    <row r="51" ht="15.75" spans="2:8">
      <c r="B51" s="604" t="s">
        <v>690</v>
      </c>
      <c r="C51" s="605"/>
      <c r="D51" s="606"/>
      <c r="E51" s="606"/>
      <c r="F51" s="229"/>
      <c r="G51" s="606"/>
      <c r="H51" s="603"/>
    </row>
    <row r="52" ht="14.4" customHeight="1" spans="2:7">
      <c r="B52" s="598" t="s">
        <v>200</v>
      </c>
      <c r="C52" s="598"/>
      <c r="D52" s="599" t="s">
        <v>691</v>
      </c>
      <c r="E52" s="599" t="s">
        <v>692</v>
      </c>
      <c r="F52" s="599" t="s">
        <v>693</v>
      </c>
      <c r="G52" s="599" t="s">
        <v>694</v>
      </c>
    </row>
    <row r="53" ht="45" customHeight="1" spans="2:7">
      <c r="B53" s="598"/>
      <c r="C53" s="598"/>
      <c r="D53" s="600"/>
      <c r="E53" s="600"/>
      <c r="F53" s="600"/>
      <c r="G53" s="600"/>
    </row>
    <row r="54" spans="2:7">
      <c r="B54" s="601">
        <v>0</v>
      </c>
      <c r="C54" s="209">
        <v>2024</v>
      </c>
      <c r="D54" s="602">
        <f>+'III. Sit. Actual O-D'!U13</f>
        <v>424566.972770869</v>
      </c>
      <c r="E54" s="602">
        <v>0</v>
      </c>
      <c r="F54" s="210">
        <v>0</v>
      </c>
      <c r="G54" s="602">
        <f>+D54-(D54*0.0391)</f>
        <v>407966.404135528</v>
      </c>
    </row>
    <row r="55" spans="2:7">
      <c r="B55" s="601">
        <f t="shared" ref="B55:B93" si="2">B54+1</f>
        <v>1</v>
      </c>
      <c r="C55" s="209">
        <v>2025</v>
      </c>
      <c r="D55" s="602">
        <f>+'III. Sit. Actual O-D'!U14</f>
        <v>429674.887692447</v>
      </c>
      <c r="E55" s="602">
        <v>0</v>
      </c>
      <c r="F55" s="210">
        <v>0</v>
      </c>
      <c r="G55" s="602">
        <f>+D55-(D55*0.0391)</f>
        <v>412874.599583672</v>
      </c>
    </row>
    <row r="56" spans="2:9">
      <c r="B56" s="601">
        <v>2</v>
      </c>
      <c r="C56" s="209">
        <v>2026</v>
      </c>
      <c r="D56" s="602">
        <f>+'III. Sit. Actual O-D'!U15</f>
        <v>434534.535334391</v>
      </c>
      <c r="E56" s="602">
        <f>+D56*'II. Caracterizacion RSU'!$D$133</f>
        <v>93738.7114615322</v>
      </c>
      <c r="F56" s="210">
        <f>+D56-E56</f>
        <v>340795.823872859</v>
      </c>
      <c r="G56" s="602">
        <f>+D56*'II. Caracterizacion RSU'!$D$132</f>
        <v>84084.6734313087</v>
      </c>
      <c r="I56" s="321"/>
    </row>
    <row r="57" spans="2:7">
      <c r="B57" s="601">
        <f t="shared" si="2"/>
        <v>3</v>
      </c>
      <c r="C57" s="209">
        <v>2027</v>
      </c>
      <c r="D57" s="602">
        <f>+'III. Sit. Actual O-D'!U16</f>
        <v>439116.097973491</v>
      </c>
      <c r="E57" s="602">
        <f>+D57*'II. Caracterizacion RSU'!$D$133</f>
        <v>94727.0558699669</v>
      </c>
      <c r="F57" s="210">
        <f t="shared" ref="F57:F93" si="3">+D57-E57</f>
        <v>344389.042103524</v>
      </c>
      <c r="G57" s="602">
        <f>+D57*'II. Caracterizacion RSU'!$D$132</f>
        <v>84971.2294285607</v>
      </c>
    </row>
    <row r="58" spans="2:7">
      <c r="B58" s="601">
        <v>4</v>
      </c>
      <c r="C58" s="209">
        <v>2028</v>
      </c>
      <c r="D58" s="602">
        <f>+'III. Sit. Actual O-D'!U17</f>
        <v>443416.583150069</v>
      </c>
      <c r="E58" s="602">
        <f>+D58*'II. Caracterizacion RSU'!$D$133</f>
        <v>95654.7656521173</v>
      </c>
      <c r="F58" s="210">
        <f t="shared" si="3"/>
        <v>347761.817497952</v>
      </c>
      <c r="G58" s="602">
        <f>+D58*'II. Caracterizacion RSU'!$D$132</f>
        <v>85803.3954873309</v>
      </c>
    </row>
    <row r="59" spans="2:7">
      <c r="B59" s="601">
        <v>5</v>
      </c>
      <c r="C59" s="209">
        <v>2029</v>
      </c>
      <c r="D59" s="602">
        <f>+'III. Sit. Actual O-D'!U18</f>
        <v>447458.541185264</v>
      </c>
      <c r="E59" s="602">
        <f>+D59*'II. Caracterizacion RSU'!$D$133</f>
        <v>96526.7054110806</v>
      </c>
      <c r="F59" s="210">
        <f t="shared" si="3"/>
        <v>350931.835774183</v>
      </c>
      <c r="G59" s="602">
        <f>+D59*'II. Caracterizacion RSU'!$D$132</f>
        <v>86585.5352110489</v>
      </c>
    </row>
    <row r="60" spans="2:7">
      <c r="B60" s="601">
        <v>6</v>
      </c>
      <c r="C60" s="209">
        <v>2030</v>
      </c>
      <c r="D60" s="602">
        <f>+'III. Sit. Actual O-D'!U19</f>
        <v>451282.263411154</v>
      </c>
      <c r="E60" s="602">
        <f>+D60*'II. Caracterizacion RSU'!$D$133</f>
        <v>97351.5668784574</v>
      </c>
      <c r="F60" s="210">
        <f t="shared" si="3"/>
        <v>353930.696532697</v>
      </c>
      <c r="G60" s="602">
        <f>+D60*'II. Caracterizacion RSU'!$D$132</f>
        <v>87325.44518025</v>
      </c>
    </row>
    <row r="61" spans="2:7">
      <c r="B61" s="601">
        <f t="shared" si="2"/>
        <v>7</v>
      </c>
      <c r="C61" s="209">
        <v>2031</v>
      </c>
      <c r="D61" s="602">
        <f>+'III. Sit. Actual O-D'!U20</f>
        <v>454930.07175746</v>
      </c>
      <c r="E61" s="602">
        <f>+D61*'II. Caracterizacion RSU'!$D$133</f>
        <v>98138.4798306769</v>
      </c>
      <c r="F61" s="210">
        <f t="shared" si="3"/>
        <v>356791.591926783</v>
      </c>
      <c r="G61" s="602">
        <f>+D61*'II. Caracterizacion RSU'!$D$132</f>
        <v>88031.3149065838</v>
      </c>
    </row>
    <row r="62" spans="2:7">
      <c r="B62" s="601">
        <f t="shared" si="2"/>
        <v>8</v>
      </c>
      <c r="C62" s="209">
        <v>2032</v>
      </c>
      <c r="D62" s="602">
        <f>+'III. Sit. Actual O-D'!U21</f>
        <v>458440.013211502</v>
      </c>
      <c r="E62" s="602">
        <f>+D62*'II. Caracterizacion RSU'!$D$133</f>
        <v>98895.6518445287</v>
      </c>
      <c r="F62" s="210">
        <f t="shared" si="3"/>
        <v>359544.361366973</v>
      </c>
      <c r="G62" s="602">
        <f>+D62*'II. Caracterizacion RSU'!$D$132</f>
        <v>88710.5066783011</v>
      </c>
    </row>
    <row r="63" spans="2:7">
      <c r="B63" s="601">
        <f t="shared" si="2"/>
        <v>9</v>
      </c>
      <c r="C63" s="209">
        <v>2033</v>
      </c>
      <c r="D63" s="602">
        <f>+'III. Sit. Actual O-D'!U22</f>
        <v>461846.821680245</v>
      </c>
      <c r="E63" s="602">
        <f>+D63*'II. Caracterizacion RSU'!$D$133</f>
        <v>99630.5757920822</v>
      </c>
      <c r="F63" s="210">
        <f t="shared" si="3"/>
        <v>362216.245888163</v>
      </c>
      <c r="G63" s="602">
        <f>+D63*'II. Caracterizacion RSU'!$D$132</f>
        <v>89369.7416855184</v>
      </c>
    </row>
    <row r="64" spans="2:7">
      <c r="B64" s="601">
        <f t="shared" si="2"/>
        <v>10</v>
      </c>
      <c r="C64" s="209">
        <v>2034</v>
      </c>
      <c r="D64" s="602">
        <f>+'III. Sit. Actual O-D'!U23</f>
        <v>465182.77297878</v>
      </c>
      <c r="E64" s="602">
        <f>+D64*'II. Caracterizacion RSU'!$D$133</f>
        <v>100350.214280614</v>
      </c>
      <c r="F64" s="210">
        <f t="shared" si="3"/>
        <v>364832.558698165</v>
      </c>
      <c r="G64" s="602">
        <f>+D64*'II. Caracterizacion RSU'!$D$132</f>
        <v>90015.265464898</v>
      </c>
    </row>
    <row r="65" spans="2:7">
      <c r="B65" s="601">
        <f t="shared" si="2"/>
        <v>11</v>
      </c>
      <c r="C65" s="209">
        <v>2035</v>
      </c>
      <c r="D65" s="602">
        <f>+'III. Sit. Actual O-D'!U24</f>
        <v>468459.195704453</v>
      </c>
      <c r="E65" s="602">
        <f>+D65*'II. Caracterizacion RSU'!$D$133</f>
        <v>101057.011139169</v>
      </c>
      <c r="F65" s="210">
        <f t="shared" si="3"/>
        <v>367402.184565284</v>
      </c>
      <c r="G65" s="602">
        <f>+D65*'II. Caracterizacion RSU'!$D$132</f>
        <v>90649.270158447</v>
      </c>
    </row>
    <row r="66" spans="2:7">
      <c r="B66" s="601">
        <f t="shared" si="2"/>
        <v>12</v>
      </c>
      <c r="C66" s="209">
        <v>2036</v>
      </c>
      <c r="D66" s="602">
        <f>+'III. Sit. Actual O-D'!U25</f>
        <v>471682.181650179</v>
      </c>
      <c r="E66" s="602">
        <f>+D66*'II. Caracterizacion RSU'!$D$133</f>
        <v>101752.280502232</v>
      </c>
      <c r="F66" s="210">
        <f t="shared" si="3"/>
        <v>369929.901147946</v>
      </c>
      <c r="G66" s="602">
        <f>+D66*'II. Caracterizacion RSU'!$D$132</f>
        <v>91272.934559509</v>
      </c>
    </row>
    <row r="67" spans="2:7">
      <c r="B67" s="601">
        <f t="shared" si="2"/>
        <v>13</v>
      </c>
      <c r="C67" s="209">
        <v>2037</v>
      </c>
      <c r="D67" s="602">
        <f>+'III. Sit. Actual O-D'!U26</f>
        <v>474836.875391133</v>
      </c>
      <c r="E67" s="602">
        <f>+D67*'II. Caracterizacion RSU'!$D$133</f>
        <v>102432.817726058</v>
      </c>
      <c r="F67" s="210">
        <f t="shared" si="3"/>
        <v>372404.057665075</v>
      </c>
      <c r="G67" s="602">
        <f>+D67*'II. Caracterizacion RSU'!$D$132</f>
        <v>91883.3840667726</v>
      </c>
    </row>
    <row r="68" spans="2:7">
      <c r="B68" s="601">
        <f t="shared" si="2"/>
        <v>14</v>
      </c>
      <c r="C68" s="209">
        <v>2038</v>
      </c>
      <c r="D68" s="602">
        <f>+'III. Sit. Actual O-D'!U27</f>
        <v>477887.901778989</v>
      </c>
      <c r="E68" s="602">
        <f>+D68*'II. Caracterizacion RSU'!$D$133</f>
        <v>103090.99160863</v>
      </c>
      <c r="F68" s="210">
        <f t="shared" si="3"/>
        <v>374796.910170359</v>
      </c>
      <c r="G68" s="602">
        <f>+D68*'II. Caracterizacion RSU'!$D$132</f>
        <v>92473.7734066114</v>
      </c>
    </row>
    <row r="69" spans="2:7">
      <c r="B69" s="601">
        <f t="shared" si="2"/>
        <v>15</v>
      </c>
      <c r="C69" s="209">
        <v>2039</v>
      </c>
      <c r="D69" s="602">
        <f>+'III. Sit. Actual O-D'!U28</f>
        <v>480789.198309434</v>
      </c>
      <c r="E69" s="602">
        <f>+D69*'II. Caracterizacion RSU'!$D$133</f>
        <v>103716.865448836</v>
      </c>
      <c r="F69" s="210">
        <f t="shared" si="3"/>
        <v>377072.332860598</v>
      </c>
      <c r="G69" s="602">
        <f>+D69*'II. Caracterizacion RSU'!$D$132</f>
        <v>93035.1892469015</v>
      </c>
    </row>
    <row r="70" spans="2:7">
      <c r="B70" s="601">
        <f t="shared" si="2"/>
        <v>16</v>
      </c>
      <c r="C70" s="209">
        <v>2040</v>
      </c>
      <c r="D70" s="602">
        <f>+'III. Sit. Actual O-D'!U29</f>
        <v>483494.381857473</v>
      </c>
      <c r="E70" s="602">
        <f>+D70*'II. Caracterizacion RSU'!$D$133</f>
        <v>104300.433380588</v>
      </c>
      <c r="F70" s="210">
        <f t="shared" si="3"/>
        <v>379193.948476885</v>
      </c>
      <c r="G70" s="602">
        <f>+D70*'II. Caracterizacion RSU'!$D$132</f>
        <v>93558.6562137643</v>
      </c>
    </row>
    <row r="71" spans="2:7">
      <c r="B71" s="601">
        <f t="shared" si="2"/>
        <v>17</v>
      </c>
      <c r="C71" s="209">
        <v>2041</v>
      </c>
      <c r="D71" s="602">
        <f>+'III. Sit. Actual O-D'!U30</f>
        <v>485963.374838146</v>
      </c>
      <c r="E71" s="602">
        <f>+D71*'II. Caracterizacion RSU'!$D$133</f>
        <v>104833.049782269</v>
      </c>
      <c r="F71" s="210">
        <f t="shared" si="3"/>
        <v>381130.325055877</v>
      </c>
      <c r="G71" s="602">
        <f>+D71*'II. Caracterizacion RSU'!$D$132</f>
        <v>94036.4190878345</v>
      </c>
    </row>
    <row r="72" spans="2:7">
      <c r="B72" s="601">
        <f t="shared" si="2"/>
        <v>18</v>
      </c>
      <c r="C72" s="209">
        <v>2042</v>
      </c>
      <c r="D72" s="602">
        <f>+'III. Sit. Actual O-D'!U31</f>
        <v>488183.352424267</v>
      </c>
      <c r="E72" s="602">
        <f>+D72*'II. Caracterizacion RSU'!$D$133</f>
        <v>105311.948054961</v>
      </c>
      <c r="F72" s="210">
        <f t="shared" si="3"/>
        <v>382871.404369306</v>
      </c>
      <c r="G72" s="602">
        <f>+D72*'II. Caracterizacion RSU'!$D$132</f>
        <v>94465.9961989152</v>
      </c>
    </row>
    <row r="73" spans="2:7">
      <c r="B73" s="601">
        <f t="shared" si="2"/>
        <v>19</v>
      </c>
      <c r="C73" s="209">
        <v>2043</v>
      </c>
      <c r="D73" s="602">
        <f>+'III. Sit. Actual O-D'!U32</f>
        <v>490153.352753794</v>
      </c>
      <c r="E73" s="602">
        <f>+D73*'II. Caracterizacion RSU'!$D$133</f>
        <v>105736.920703744</v>
      </c>
      <c r="F73" s="210">
        <f t="shared" si="3"/>
        <v>384416.432050051</v>
      </c>
      <c r="G73" s="602">
        <f>+D73*'II. Caracterizacion RSU'!$D$132</f>
        <v>94847.2014217416</v>
      </c>
    </row>
    <row r="74" spans="2:7">
      <c r="B74" s="601">
        <f t="shared" si="2"/>
        <v>20</v>
      </c>
      <c r="C74" s="209">
        <v>2044</v>
      </c>
      <c r="D74" s="602">
        <f>+'III. Sit. Actual O-D'!U33</f>
        <v>491895.712400748</v>
      </c>
      <c r="E74" s="602">
        <f>+D74*'II. Caracterizacion RSU'!$D$133</f>
        <v>106112.786221734</v>
      </c>
      <c r="F74" s="210">
        <f t="shared" si="3"/>
        <v>385782.926179014</v>
      </c>
      <c r="G74" s="602">
        <f>+D74*'II. Caracterizacion RSU'!$D$132</f>
        <v>95184.3569985733</v>
      </c>
    </row>
    <row r="75" spans="2:7">
      <c r="B75" s="601">
        <f t="shared" si="2"/>
        <v>21</v>
      </c>
      <c r="C75" s="209">
        <v>2045</v>
      </c>
      <c r="D75" s="602">
        <f>+'III. Sit. Actual O-D'!U34</f>
        <v>493430.416720827</v>
      </c>
      <c r="E75" s="602">
        <f>+D75*'II. Caracterizacion RSU'!$D$133</f>
        <v>106443.855892244</v>
      </c>
      <c r="F75" s="210">
        <f t="shared" si="3"/>
        <v>386986.560828583</v>
      </c>
      <c r="G75" s="602">
        <f>+D75*'II. Caracterizacion RSU'!$D$132</f>
        <v>95481.3301988004</v>
      </c>
    </row>
    <row r="76" spans="2:7">
      <c r="B76" s="601">
        <f t="shared" si="2"/>
        <v>22</v>
      </c>
      <c r="C76" s="209">
        <v>2046</v>
      </c>
      <c r="D76" s="602">
        <f>+'III. Sit. Actual O-D'!U35</f>
        <v>494787.604057922</v>
      </c>
      <c r="E76" s="602">
        <f>+D76*'II. Caracterizacion RSU'!$D$133</f>
        <v>106736.631222733</v>
      </c>
      <c r="F76" s="210">
        <f t="shared" si="3"/>
        <v>388050.972835189</v>
      </c>
      <c r="G76" s="602">
        <f>+D76*'II. Caracterizacion RSU'!$D$132</f>
        <v>95743.9529473857</v>
      </c>
    </row>
    <row r="77" spans="2:7">
      <c r="B77" s="601">
        <f t="shared" si="2"/>
        <v>23</v>
      </c>
      <c r="C77" s="209">
        <v>2047</v>
      </c>
      <c r="D77" s="602">
        <f>+'III. Sit. Actual O-D'!U36</f>
        <v>495996.878388124</v>
      </c>
      <c r="E77" s="602">
        <f>+D77*'II. Caracterizacion RSU'!$D$133</f>
        <v>106997.498445701</v>
      </c>
      <c r="F77" s="210">
        <f t="shared" si="3"/>
        <v>388999.379942422</v>
      </c>
      <c r="G77" s="602">
        <f>+D77*'II. Caracterizacion RSU'!$D$132</f>
        <v>95977.9537663669</v>
      </c>
    </row>
    <row r="78" spans="2:7">
      <c r="B78" s="601">
        <f t="shared" si="2"/>
        <v>24</v>
      </c>
      <c r="C78" s="209">
        <v>2048</v>
      </c>
      <c r="D78" s="602">
        <f>+'III. Sit. Actual O-D'!U37</f>
        <v>497085.064974965</v>
      </c>
      <c r="E78" s="602">
        <f>+D78*'II. Caracterizacion RSU'!$D$133</f>
        <v>107232.244363887</v>
      </c>
      <c r="F78" s="210">
        <f t="shared" si="3"/>
        <v>389852.820611079</v>
      </c>
      <c r="G78" s="602">
        <f>+D78*'II. Caracterizacion RSU'!$D$132</f>
        <v>96188.5234825726</v>
      </c>
    </row>
    <row r="79" spans="2:7">
      <c r="B79" s="601">
        <f t="shared" si="2"/>
        <v>25</v>
      </c>
      <c r="C79" s="209">
        <v>2049</v>
      </c>
      <c r="D79" s="602">
        <f>+'III. Sit. Actual O-D'!U38</f>
        <v>498070.973564988</v>
      </c>
      <c r="E79" s="602">
        <f>+D79*'II. Caracterizacion RSU'!$D$133</f>
        <v>107444.926655701</v>
      </c>
      <c r="F79" s="210">
        <f t="shared" si="3"/>
        <v>390626.046909287</v>
      </c>
      <c r="G79" s="602">
        <f>+D79*'II. Caracterizacion RSU'!$D$132</f>
        <v>96379.3018789581</v>
      </c>
    </row>
    <row r="80" spans="2:7">
      <c r="B80" s="601">
        <f t="shared" si="2"/>
        <v>26</v>
      </c>
      <c r="C80" s="209">
        <v>2050</v>
      </c>
      <c r="D80" s="602">
        <f>+'III. Sit. Actual O-D'!U39</f>
        <v>498966.360249781</v>
      </c>
      <c r="E80" s="602">
        <f>+D80*'II. Caracterizacion RSU'!$D$133</f>
        <v>107638.081370154</v>
      </c>
      <c r="F80" s="210">
        <f t="shared" si="3"/>
        <v>391328.278879627</v>
      </c>
      <c r="G80" s="602">
        <f>+D80*'II. Caracterizacion RSU'!$D$132</f>
        <v>96552.5638198705</v>
      </c>
    </row>
    <row r="81" spans="2:7">
      <c r="B81" s="601">
        <f t="shared" si="2"/>
        <v>27</v>
      </c>
      <c r="C81" s="209">
        <v>2051</v>
      </c>
      <c r="D81" s="602">
        <f>+'III. Sit. Actual O-D'!U40</f>
        <v>499770.156293744</v>
      </c>
      <c r="E81" s="602">
        <f>+D81*'II. Caracterizacion RSU'!$D$133</f>
        <v>107811.477957334</v>
      </c>
      <c r="F81" s="210">
        <f t="shared" si="3"/>
        <v>391958.67833641</v>
      </c>
      <c r="G81" s="602">
        <f>+D81*'II. Caracterizacion RSU'!$D$132</f>
        <v>96708.1024994603</v>
      </c>
    </row>
    <row r="82" spans="2:7">
      <c r="B82" s="601">
        <f t="shared" si="2"/>
        <v>28</v>
      </c>
      <c r="C82" s="209">
        <v>2052</v>
      </c>
      <c r="D82" s="602">
        <f>+'III. Sit. Actual O-D'!U41</f>
        <v>500474.239306327</v>
      </c>
      <c r="E82" s="602">
        <f>+D82*'II. Caracterizacion RSU'!$D$133</f>
        <v>107963.364237928</v>
      </c>
      <c r="F82" s="210">
        <f t="shared" si="3"/>
        <v>392510.875068399</v>
      </c>
      <c r="G82" s="602">
        <f>+D82*'II. Caracterizacion RSU'!$D$132</f>
        <v>96844.3461932692</v>
      </c>
    </row>
    <row r="83" spans="2:7">
      <c r="B83" s="601">
        <f t="shared" si="2"/>
        <v>29</v>
      </c>
      <c r="C83" s="209">
        <v>2053</v>
      </c>
      <c r="D83" s="602">
        <f>+'III. Sit. Actual O-D'!U42</f>
        <v>501055.95209283</v>
      </c>
      <c r="E83" s="602">
        <f>+D83*'II. Caracterizacion RSU'!$D$133</f>
        <v>108088.852553846</v>
      </c>
      <c r="F83" s="210">
        <f t="shared" si="3"/>
        <v>392967.099538984</v>
      </c>
      <c r="G83" s="602">
        <f>+D83*'II. Caracterizacion RSU'!$D$132</f>
        <v>96956.9106172829</v>
      </c>
    </row>
    <row r="84" spans="2:7">
      <c r="B84" s="601">
        <f t="shared" si="2"/>
        <v>30</v>
      </c>
      <c r="C84" s="209">
        <v>2054</v>
      </c>
      <c r="D84" s="602">
        <f>+'III. Sit. Actual O-D'!U43</f>
        <v>501485.904424284</v>
      </c>
      <c r="E84" s="602">
        <f>+D84*'II. Caracterizacion RSU'!$D$133</f>
        <v>108181.60278257</v>
      </c>
      <c r="F84" s="210">
        <f t="shared" si="3"/>
        <v>393304.301641715</v>
      </c>
      <c r="G84" s="602">
        <f>+D84*'II. Caracterizacion RSU'!$D$132</f>
        <v>97040.1086106335</v>
      </c>
    </row>
    <row r="85" spans="2:7">
      <c r="B85" s="601">
        <f t="shared" si="2"/>
        <v>31</v>
      </c>
      <c r="C85" s="209">
        <v>2055</v>
      </c>
      <c r="D85" s="602">
        <f>+'III. Sit. Actual O-D'!U44</f>
        <v>501737.484784275</v>
      </c>
      <c r="E85" s="602">
        <f>+D85*'II. Caracterizacion RSU'!$D$133</f>
        <v>108235.874231343</v>
      </c>
      <c r="F85" s="210">
        <f t="shared" si="3"/>
        <v>393501.610552932</v>
      </c>
      <c r="G85" s="602">
        <f>+D85*'II. Caracterizacion RSU'!$D$132</f>
        <v>97088.7907076623</v>
      </c>
    </row>
    <row r="86" spans="2:7">
      <c r="B86" s="601">
        <f t="shared" si="2"/>
        <v>32</v>
      </c>
      <c r="C86" s="209">
        <v>2056</v>
      </c>
      <c r="D86" s="602">
        <f>+'III. Sit. Actual O-D'!U45</f>
        <v>501795.303380178</v>
      </c>
      <c r="E86" s="602">
        <f>+D86*'II. Caracterizacion RSU'!$D$133</f>
        <v>108248.346981464</v>
      </c>
      <c r="F86" s="210">
        <f t="shared" si="3"/>
        <v>393546.956398713</v>
      </c>
      <c r="G86" s="602">
        <f>+D86*'II. Caracterizacion RSU'!$D$132</f>
        <v>97099.9789041333</v>
      </c>
    </row>
    <row r="87" spans="2:7">
      <c r="B87" s="601">
        <f t="shared" si="2"/>
        <v>33</v>
      </c>
      <c r="C87" s="209">
        <v>2057</v>
      </c>
      <c r="D87" s="602">
        <f>+'III. Sit. Actual O-D'!U46</f>
        <v>501650.810327201</v>
      </c>
      <c r="E87" s="602">
        <f>+D87*'II. Caracterizacion RSU'!$D$133</f>
        <v>108217.176633656</v>
      </c>
      <c r="F87" s="210">
        <f t="shared" si="3"/>
        <v>393433.633693545</v>
      </c>
      <c r="G87" s="602">
        <f>+D87*'II. Caracterizacion RSU'!$D$132</f>
        <v>97072.0187532484</v>
      </c>
    </row>
    <row r="88" spans="2:7">
      <c r="B88" s="601">
        <f t="shared" si="2"/>
        <v>34</v>
      </c>
      <c r="C88" s="209">
        <v>2058</v>
      </c>
      <c r="D88" s="602">
        <f>+'III. Sit. Actual O-D'!U47</f>
        <v>501309.02868266</v>
      </c>
      <c r="E88" s="602">
        <f>+D88*'II. Caracterizacion RSU'!$D$133</f>
        <v>108143.446772493</v>
      </c>
      <c r="F88" s="210">
        <f t="shared" si="3"/>
        <v>393165.581910166</v>
      </c>
      <c r="G88" s="602">
        <f>+D88*'II. Caracterizacion RSU'!$D$132</f>
        <v>97005.8822425014</v>
      </c>
    </row>
    <row r="89" spans="2:7">
      <c r="B89" s="601">
        <f t="shared" si="2"/>
        <v>35</v>
      </c>
      <c r="C89" s="209">
        <v>2059</v>
      </c>
      <c r="D89" s="602">
        <f>+'III. Sit. Actual O-D'!U48</f>
        <v>500783.85200934</v>
      </c>
      <c r="E89" s="602">
        <f>+D89*'II. Caracterizacion RSU'!$D$133</f>
        <v>108030.154546805</v>
      </c>
      <c r="F89" s="210">
        <f t="shared" si="3"/>
        <v>392753.697462535</v>
      </c>
      <c r="G89" s="602">
        <f>+D89*'II. Caracterizacion RSU'!$D$132</f>
        <v>96904.257847939</v>
      </c>
    </row>
    <row r="90" spans="2:7">
      <c r="B90" s="601">
        <f t="shared" si="2"/>
        <v>36</v>
      </c>
      <c r="C90" s="209">
        <v>2060</v>
      </c>
      <c r="D90" s="602">
        <f>+'III. Sit. Actual O-D'!U49</f>
        <v>500095.800030742</v>
      </c>
      <c r="E90" s="602">
        <f>+D90*'II. Caracterizacion RSU'!$D$133</f>
        <v>107881.726514858</v>
      </c>
      <c r="F90" s="210">
        <f t="shared" si="3"/>
        <v>392214.073515884</v>
      </c>
      <c r="G90" s="602">
        <f>+D90*'II. Caracterizacion RSU'!$D$132</f>
        <v>96771.1162418762</v>
      </c>
    </row>
    <row r="91" spans="2:7">
      <c r="B91" s="601">
        <f t="shared" si="2"/>
        <v>37</v>
      </c>
      <c r="C91" s="209">
        <v>2061</v>
      </c>
      <c r="D91" s="602">
        <f>+'III. Sit. Actual O-D'!U50</f>
        <v>499262.506884248</v>
      </c>
      <c r="E91" s="602">
        <f>+D91*'II. Caracterizacion RSU'!$D$133</f>
        <v>107701.966750167</v>
      </c>
      <c r="F91" s="210">
        <f t="shared" si="3"/>
        <v>391560.540134081</v>
      </c>
      <c r="G91" s="602">
        <f>+D91*'II. Caracterizacion RSU'!$D$132</f>
        <v>96609.8697208336</v>
      </c>
    </row>
    <row r="92" spans="2:7">
      <c r="B92" s="601">
        <f t="shared" si="2"/>
        <v>38</v>
      </c>
      <c r="C92" s="209">
        <v>2062</v>
      </c>
      <c r="D92" s="602">
        <f>+'III. Sit. Actual O-D'!U51</f>
        <v>498304.919787597</v>
      </c>
      <c r="E92" s="602">
        <f>+D92*'II. Caracterizacion RSU'!$D$133</f>
        <v>107495.394030962</v>
      </c>
      <c r="F92" s="210">
        <f t="shared" si="3"/>
        <v>390809.525756634</v>
      </c>
      <c r="G92" s="602">
        <f>+D92*'II. Caracterizacion RSU'!$D$132</f>
        <v>96424.5716794662</v>
      </c>
    </row>
    <row r="93" spans="2:7">
      <c r="B93" s="601">
        <f t="shared" si="2"/>
        <v>39</v>
      </c>
      <c r="C93" s="209">
        <v>2063</v>
      </c>
      <c r="D93" s="602">
        <f>+'III. Sit. Actual O-D'!U52</f>
        <v>497245.909682606</v>
      </c>
      <c r="E93" s="602">
        <f>+D93*'II. Caracterizacion RSU'!$D$133</f>
        <v>107266.942125315</v>
      </c>
      <c r="F93" s="210">
        <f t="shared" si="3"/>
        <v>389978.967557291</v>
      </c>
      <c r="G93" s="602">
        <f>+D93*'II. Caracterizacion RSU'!$D$132</f>
        <v>96219.6477629585</v>
      </c>
    </row>
    <row r="94" ht="15.75" spans="2:7">
      <c r="B94" s="604" t="s">
        <v>392</v>
      </c>
      <c r="C94" s="605"/>
      <c r="D94" s="606"/>
      <c r="E94" s="606"/>
      <c r="F94" s="229"/>
      <c r="G94" s="603"/>
    </row>
    <row r="96" s="536" customFormat="1" ht="18.75" spans="2:14">
      <c r="B96" s="609" t="s">
        <v>695</v>
      </c>
      <c r="C96" s="609"/>
      <c r="D96" s="609"/>
      <c r="E96" s="609"/>
      <c r="F96" s="609"/>
      <c r="G96" s="609"/>
      <c r="H96" s="609"/>
      <c r="I96" s="609"/>
      <c r="J96" s="609"/>
      <c r="K96" s="609"/>
      <c r="L96" s="609"/>
      <c r="M96" s="609"/>
      <c r="N96" s="609"/>
    </row>
    <row r="98" ht="15.75" spans="2:8">
      <c r="B98" s="610" t="s">
        <v>175</v>
      </c>
      <c r="C98" s="610"/>
      <c r="D98" s="610"/>
      <c r="E98" s="610"/>
      <c r="F98" s="610"/>
      <c r="G98" s="610"/>
      <c r="H98" s="610"/>
    </row>
    <row r="100" spans="2:2">
      <c r="B100" t="s">
        <v>696</v>
      </c>
    </row>
    <row r="101" ht="60" spans="2:7">
      <c r="B101" s="535" t="s">
        <v>697</v>
      </c>
      <c r="C101" s="535" t="s">
        <v>698</v>
      </c>
      <c r="D101" s="535" t="s">
        <v>699</v>
      </c>
      <c r="E101" s="535" t="s">
        <v>700</v>
      </c>
      <c r="F101" s="535" t="s">
        <v>701</v>
      </c>
      <c r="G101" s="535" t="s">
        <v>702</v>
      </c>
    </row>
    <row r="102" spans="2:7">
      <c r="B102" s="209" t="s">
        <v>703</v>
      </c>
      <c r="C102" s="209">
        <v>2026</v>
      </c>
      <c r="D102" s="611">
        <v>54119.83</v>
      </c>
      <c r="E102" s="611">
        <v>36716.93</v>
      </c>
      <c r="F102" s="611">
        <v>25764.83</v>
      </c>
      <c r="G102" s="298">
        <f t="shared" ref="G102:G107" si="4">+($E$109/3)*(D102+E102+(D102*E102)^0.5)</f>
        <v>902758.779920785</v>
      </c>
    </row>
    <row r="103" spans="2:7">
      <c r="B103" s="209">
        <v>1</v>
      </c>
      <c r="C103" s="209">
        <v>2030</v>
      </c>
      <c r="D103" s="611">
        <f>+D102</f>
        <v>54119.83</v>
      </c>
      <c r="E103" s="611">
        <f>+E102</f>
        <v>36716.93</v>
      </c>
      <c r="F103" s="611">
        <f>+F102</f>
        <v>25764.83</v>
      </c>
      <c r="G103" s="298">
        <f t="shared" si="4"/>
        <v>902758.779920785</v>
      </c>
    </row>
    <row r="104" spans="2:7">
      <c r="B104" s="209" t="s">
        <v>704</v>
      </c>
      <c r="C104" s="209">
        <v>2037</v>
      </c>
      <c r="D104" s="611">
        <v>104688.5</v>
      </c>
      <c r="E104" s="611">
        <v>77439.8</v>
      </c>
      <c r="F104" s="611">
        <v>59368.4</v>
      </c>
      <c r="G104" s="298">
        <f t="shared" si="4"/>
        <v>1814449.96170779</v>
      </c>
    </row>
    <row r="105" spans="2:7">
      <c r="B105" s="209" t="s">
        <v>705</v>
      </c>
      <c r="C105" s="209">
        <v>2048</v>
      </c>
      <c r="D105" s="611">
        <v>76555.83</v>
      </c>
      <c r="E105" s="611">
        <v>54962.4</v>
      </c>
      <c r="F105" s="611">
        <v>40748.4</v>
      </c>
      <c r="G105" s="298">
        <f t="shared" si="4"/>
        <v>1309233.0404539</v>
      </c>
    </row>
    <row r="106" spans="2:7">
      <c r="B106" s="209">
        <v>2</v>
      </c>
      <c r="C106" s="209">
        <v>2055</v>
      </c>
      <c r="D106" s="611">
        <v>67467.06</v>
      </c>
      <c r="E106" s="611">
        <v>47398.96</v>
      </c>
      <c r="F106" s="611">
        <v>34635.81</v>
      </c>
      <c r="G106" s="298">
        <f t="shared" si="4"/>
        <v>1142771.46125359</v>
      </c>
    </row>
    <row r="107" spans="2:7">
      <c r="B107" s="209" t="s">
        <v>706</v>
      </c>
      <c r="C107" s="209">
        <v>2062</v>
      </c>
      <c r="D107" s="612">
        <v>19665</v>
      </c>
      <c r="E107" s="611">
        <v>17441</v>
      </c>
      <c r="F107" s="612">
        <f>+F106/D106*D107</f>
        <v>10095.4925803792</v>
      </c>
      <c r="G107" s="298">
        <f t="shared" si="4"/>
        <v>370837.635866495</v>
      </c>
    </row>
    <row r="108" spans="2:7">
      <c r="B108" s="613"/>
      <c r="C108" s="613"/>
      <c r="D108" s="614">
        <f>+SUM(D102:D107)</f>
        <v>376616.05</v>
      </c>
      <c r="E108" s="615"/>
      <c r="F108" s="614">
        <f>+SUM(F102:F107)</f>
        <v>196377.762580379</v>
      </c>
      <c r="G108" s="614">
        <f t="shared" ref="G108" si="5">+SUM(G102:G107)</f>
        <v>6442809.65912334</v>
      </c>
    </row>
    <row r="109" spans="2:6">
      <c r="B109" s="183" t="s">
        <v>707</v>
      </c>
      <c r="D109" s="616" t="s">
        <v>708</v>
      </c>
      <c r="E109">
        <v>20</v>
      </c>
      <c r="F109" t="s">
        <v>709</v>
      </c>
    </row>
    <row r="110" spans="2:6">
      <c r="B110" s="183" t="s">
        <v>710</v>
      </c>
      <c r="C110" s="617"/>
      <c r="D110" s="618"/>
      <c r="E110" s="617"/>
      <c r="F110" s="617"/>
    </row>
    <row r="112" s="590" customFormat="1" ht="18.75" spans="2:14">
      <c r="B112" s="619"/>
      <c r="C112" s="619"/>
      <c r="D112" s="619"/>
      <c r="E112" s="619"/>
      <c r="F112" s="619"/>
      <c r="G112" s="619"/>
      <c r="H112" s="619"/>
      <c r="I112" s="619"/>
      <c r="J112" s="619"/>
      <c r="K112" s="619"/>
      <c r="L112" s="619"/>
      <c r="M112" s="619"/>
      <c r="N112" s="619"/>
    </row>
    <row r="113" s="590" customFormat="1" ht="18.75" spans="2:14">
      <c r="B113" t="s">
        <v>711</v>
      </c>
      <c r="C113" s="619"/>
      <c r="D113" s="619"/>
      <c r="E113" s="619"/>
      <c r="F113" s="619"/>
      <c r="G113" s="619"/>
      <c r="H113" s="619"/>
      <c r="I113" s="619"/>
      <c r="J113" s="619"/>
      <c r="K113" s="619"/>
      <c r="L113" s="619"/>
      <c r="M113" s="619"/>
      <c r="N113" s="619"/>
    </row>
    <row r="114" s="590" customFormat="1" ht="15.75" spans="2:15">
      <c r="B114" s="620"/>
      <c r="C114" s="620"/>
      <c r="D114" s="621" t="s">
        <v>712</v>
      </c>
      <c r="E114" s="622"/>
      <c r="F114" s="622"/>
      <c r="G114" s="622"/>
      <c r="H114" s="622"/>
      <c r="I114" s="622"/>
      <c r="J114" s="622"/>
      <c r="K114" s="622"/>
      <c r="L114" s="626" t="s">
        <v>713</v>
      </c>
      <c r="M114" s="627" t="s">
        <v>714</v>
      </c>
      <c r="O114" s="626" t="s">
        <v>715</v>
      </c>
    </row>
    <row r="115" ht="75" spans="2:15">
      <c r="B115" s="623" t="s">
        <v>474</v>
      </c>
      <c r="C115" s="623" t="s">
        <v>200</v>
      </c>
      <c r="D115" s="624" t="s">
        <v>716</v>
      </c>
      <c r="E115" s="624" t="s">
        <v>717</v>
      </c>
      <c r="F115" s="624" t="s">
        <v>718</v>
      </c>
      <c r="G115" s="624" t="s">
        <v>719</v>
      </c>
      <c r="H115" s="623" t="s">
        <v>720</v>
      </c>
      <c r="I115" s="623" t="s">
        <v>721</v>
      </c>
      <c r="J115" s="623" t="s">
        <v>722</v>
      </c>
      <c r="K115" s="623" t="s">
        <v>723</v>
      </c>
      <c r="L115" s="623" t="s">
        <v>724</v>
      </c>
      <c r="M115" s="623" t="s">
        <v>725</v>
      </c>
      <c r="N115" s="628" t="s">
        <v>726</v>
      </c>
      <c r="O115" s="623" t="s">
        <v>727</v>
      </c>
    </row>
    <row r="116" spans="2:15">
      <c r="B116" s="209">
        <v>0</v>
      </c>
      <c r="C116" s="209">
        <v>2024</v>
      </c>
      <c r="D116" s="625">
        <f>+(G54/365)</f>
        <v>1117.71617571377</v>
      </c>
      <c r="E116" s="625">
        <f>+D116*365</f>
        <v>407966.404135528</v>
      </c>
      <c r="F116" s="625">
        <f>+D116/'I. Parametros Grales'!$C$144*1000</f>
        <v>2235.43235142755</v>
      </c>
      <c r="G116" s="625">
        <f>+D116/'I. Parametros Grales'!$C$145*1000</f>
        <v>1596.73739387682</v>
      </c>
      <c r="H116" s="625">
        <f>+G116*'I. Parametros Grales'!$C$149</f>
        <v>1612.86605442103</v>
      </c>
      <c r="I116" s="625">
        <f>+H116*'I. Parametros Grales'!$C$148</f>
        <v>2016.08256802629</v>
      </c>
      <c r="J116" s="625">
        <f>+H116+I116</f>
        <v>3628.94862244732</v>
      </c>
      <c r="K116" s="298">
        <f>+J116*365</f>
        <v>1324566.24719327</v>
      </c>
      <c r="L116" s="298">
        <f>+K116</f>
        <v>1324566.24719327</v>
      </c>
      <c r="M116" s="602">
        <f>+K116</f>
        <v>1324566.24719327</v>
      </c>
      <c r="N116" s="195" t="s">
        <v>519</v>
      </c>
      <c r="O116" s="629">
        <f>+M116-K116</f>
        <v>0</v>
      </c>
    </row>
    <row r="117" spans="2:15">
      <c r="B117" s="209">
        <v>1</v>
      </c>
      <c r="C117" s="209">
        <v>2025</v>
      </c>
      <c r="D117" s="625">
        <f t="shared" ref="D117:D155" si="6">+(G55/365)</f>
        <v>1131.16328653061</v>
      </c>
      <c r="E117" s="625">
        <f t="shared" ref="E117:E155" si="7">+D117*365</f>
        <v>412874.599583672</v>
      </c>
      <c r="F117" s="625">
        <f>+D117/'I. Parametros Grales'!$C$144*1000</f>
        <v>2262.32657306122</v>
      </c>
      <c r="G117" s="625">
        <f>+D117/'I. Parametros Grales'!$C$145*1000</f>
        <v>1615.94755218658</v>
      </c>
      <c r="H117" s="625">
        <f>+G117*'I. Parametros Grales'!$C$149</f>
        <v>1632.27025473392</v>
      </c>
      <c r="I117" s="625">
        <f>+H117*'I. Parametros Grales'!$C$148</f>
        <v>2040.3378184174</v>
      </c>
      <c r="J117" s="625">
        <f t="shared" ref="J117:J154" si="8">+H117+I117</f>
        <v>3672.60807315133</v>
      </c>
      <c r="K117" s="298">
        <f t="shared" ref="K117:K154" si="9">+J117*365</f>
        <v>1340501.94670023</v>
      </c>
      <c r="L117" s="298">
        <f>+K116+K117</f>
        <v>2665068.19389351</v>
      </c>
      <c r="M117" s="602">
        <f>+K117</f>
        <v>1340501.94670023</v>
      </c>
      <c r="N117" s="195" t="s">
        <v>519</v>
      </c>
      <c r="O117" s="629">
        <f>+M117-K117</f>
        <v>0</v>
      </c>
    </row>
    <row r="118" spans="2:15">
      <c r="B118" s="209">
        <v>2</v>
      </c>
      <c r="C118" s="209">
        <v>2026</v>
      </c>
      <c r="D118" s="625">
        <f t="shared" si="6"/>
        <v>230.368968304955</v>
      </c>
      <c r="E118" s="625">
        <f t="shared" si="7"/>
        <v>84084.6734313087</v>
      </c>
      <c r="F118" s="625">
        <f>+D118/'I. Parametros Grales'!$C$144*1000</f>
        <v>460.737936609911</v>
      </c>
      <c r="G118" s="625">
        <f>+D118/'I. Parametros Grales'!$C$145*1000</f>
        <v>329.098526149936</v>
      </c>
      <c r="H118" s="625">
        <f>+G118*'I. Parametros Grales'!$C$149</f>
        <v>332.422753686804</v>
      </c>
      <c r="I118" s="625">
        <f>+H118*('I. Parametros Grales'!$C$148-1)</f>
        <v>83.1056884217011</v>
      </c>
      <c r="J118" s="625">
        <f t="shared" si="8"/>
        <v>415.528442108505</v>
      </c>
      <c r="K118" s="298">
        <f t="shared" si="9"/>
        <v>151667.881369604</v>
      </c>
      <c r="L118" s="298">
        <f>K118</f>
        <v>151667.881369604</v>
      </c>
      <c r="M118" s="602">
        <v>902758.779920785</v>
      </c>
      <c r="N118" s="195" t="s">
        <v>728</v>
      </c>
      <c r="O118" s="629">
        <f>+M118-L118</f>
        <v>751090.898551181</v>
      </c>
    </row>
    <row r="119" spans="2:15">
      <c r="B119" s="209">
        <v>3</v>
      </c>
      <c r="C119" s="209">
        <v>2027</v>
      </c>
      <c r="D119" s="625">
        <f t="shared" si="6"/>
        <v>232.797888845372</v>
      </c>
      <c r="E119" s="625">
        <f t="shared" si="7"/>
        <v>84971.2294285607</v>
      </c>
      <c r="F119" s="625">
        <f>+D119/'I. Parametros Grales'!$C$144*1000</f>
        <v>465.595777690743</v>
      </c>
      <c r="G119" s="625">
        <f>+D119/'I. Parametros Grales'!$C$145*1000</f>
        <v>332.568412636245</v>
      </c>
      <c r="H119" s="625">
        <f>+G119*'I. Parametros Grales'!$C$149</f>
        <v>335.927689531561</v>
      </c>
      <c r="I119" s="625">
        <f>+H119*('I. Parametros Grales'!$C$148-1)</f>
        <v>83.9819223828902</v>
      </c>
      <c r="J119" s="625">
        <f t="shared" si="8"/>
        <v>419.909611914451</v>
      </c>
      <c r="K119" s="298">
        <f t="shared" si="9"/>
        <v>153267.008348775</v>
      </c>
      <c r="L119" s="298">
        <f t="shared" ref="L119:L154" si="10">K119+L118</f>
        <v>304934.889718379</v>
      </c>
      <c r="M119" s="602">
        <v>902758.779920785</v>
      </c>
      <c r="N119" s="195" t="s">
        <v>728</v>
      </c>
      <c r="O119" s="629">
        <f t="shared" ref="O119:O154" si="11">+M119-L119</f>
        <v>597823.890202406</v>
      </c>
    </row>
    <row r="120" spans="2:15">
      <c r="B120" s="209">
        <v>4</v>
      </c>
      <c r="C120" s="209">
        <v>2028</v>
      </c>
      <c r="D120" s="625">
        <f t="shared" si="6"/>
        <v>235.077795855701</v>
      </c>
      <c r="E120" s="625">
        <f t="shared" si="7"/>
        <v>85803.3954873309</v>
      </c>
      <c r="F120" s="625">
        <f>+D120/'I. Parametros Grales'!$C$144*1000</f>
        <v>470.155591711402</v>
      </c>
      <c r="G120" s="625">
        <f>+D120/'I. Parametros Grales'!$C$145*1000</f>
        <v>335.825422651002</v>
      </c>
      <c r="H120" s="625">
        <f>+G120*'I. Parametros Grales'!$C$149</f>
        <v>339.217598637375</v>
      </c>
      <c r="I120" s="625">
        <f>+H120*('I. Parametros Grales'!$C$148-1)</f>
        <v>84.8043996593439</v>
      </c>
      <c r="J120" s="625">
        <f t="shared" si="8"/>
        <v>424.021998296719</v>
      </c>
      <c r="K120" s="298">
        <f t="shared" si="9"/>
        <v>154768.029378303</v>
      </c>
      <c r="L120" s="298">
        <f t="shared" si="10"/>
        <v>459702.919096682</v>
      </c>
      <c r="M120" s="602">
        <v>902758.779920785</v>
      </c>
      <c r="N120" s="195" t="s">
        <v>728</v>
      </c>
      <c r="O120" s="629">
        <f t="shared" si="11"/>
        <v>443055.860824104</v>
      </c>
    </row>
    <row r="121" spans="2:15">
      <c r="B121" s="209">
        <v>5</v>
      </c>
      <c r="C121" s="209">
        <v>2029</v>
      </c>
      <c r="D121" s="625">
        <f t="shared" si="6"/>
        <v>237.220644413833</v>
      </c>
      <c r="E121" s="625">
        <f t="shared" si="7"/>
        <v>86585.5352110489</v>
      </c>
      <c r="F121" s="625">
        <f>+D121/'I. Parametros Grales'!$C$144*1000</f>
        <v>474.441288827665</v>
      </c>
      <c r="G121" s="625">
        <f>+D121/'I. Parametros Grales'!$C$145*1000</f>
        <v>338.886634876904</v>
      </c>
      <c r="H121" s="625">
        <f>+G121*'I. Parametros Grales'!$C$149</f>
        <v>342.309732198893</v>
      </c>
      <c r="I121" s="625">
        <f>+H121*('I. Parametros Grales'!$C$148-1)</f>
        <v>85.5774330497232</v>
      </c>
      <c r="J121" s="625">
        <f t="shared" si="8"/>
        <v>427.887165248616</v>
      </c>
      <c r="K121" s="298">
        <f t="shared" si="9"/>
        <v>156178.815315745</v>
      </c>
      <c r="L121" s="298">
        <f t="shared" si="10"/>
        <v>615881.734412426</v>
      </c>
      <c r="M121" s="602">
        <v>902758.779920785</v>
      </c>
      <c r="N121" s="195" t="s">
        <v>728</v>
      </c>
      <c r="O121" s="629">
        <f t="shared" si="11"/>
        <v>286877.045508359</v>
      </c>
    </row>
    <row r="122" spans="2:15">
      <c r="B122" s="209">
        <v>6</v>
      </c>
      <c r="C122" s="209">
        <v>2030</v>
      </c>
      <c r="D122" s="625">
        <f t="shared" si="6"/>
        <v>239.247795014384</v>
      </c>
      <c r="E122" s="625">
        <f t="shared" si="7"/>
        <v>87325.44518025</v>
      </c>
      <c r="F122" s="625">
        <f>+D122/'I. Parametros Grales'!$C$144*1000</f>
        <v>478.495590028767</v>
      </c>
      <c r="G122" s="625">
        <f>+D122/'I. Parametros Grales'!$C$145*1000</f>
        <v>341.782564306262</v>
      </c>
      <c r="H122" s="625">
        <f>+G122*'I. Parametros Grales'!$C$149</f>
        <v>345.234913440669</v>
      </c>
      <c r="I122" s="625">
        <f>+H122*('I. Parametros Grales'!$C$148-1)</f>
        <v>86.3087283601672</v>
      </c>
      <c r="J122" s="625">
        <f t="shared" si="8"/>
        <v>431.543641800836</v>
      </c>
      <c r="K122" s="298">
        <f t="shared" si="9"/>
        <v>157513.429257305</v>
      </c>
      <c r="L122" s="298">
        <f t="shared" si="10"/>
        <v>773395.163669732</v>
      </c>
      <c r="M122" s="602">
        <f>+G102+G103</f>
        <v>1805517.55984157</v>
      </c>
      <c r="N122" s="195" t="s">
        <v>729</v>
      </c>
      <c r="O122" s="629">
        <f t="shared" si="11"/>
        <v>1032122.39617184</v>
      </c>
    </row>
    <row r="123" spans="2:15">
      <c r="B123" s="209">
        <v>7</v>
      </c>
      <c r="C123" s="209">
        <v>2031</v>
      </c>
      <c r="D123" s="625">
        <f t="shared" si="6"/>
        <v>241.181684675572</v>
      </c>
      <c r="E123" s="625">
        <f t="shared" si="7"/>
        <v>88031.3149065838</v>
      </c>
      <c r="F123" s="625">
        <f>+D123/'I. Parametros Grales'!$C$144*1000</f>
        <v>482.363369351144</v>
      </c>
      <c r="G123" s="625">
        <f>+D123/'I. Parametros Grales'!$C$145*1000</f>
        <v>344.545263822246</v>
      </c>
      <c r="H123" s="625">
        <f>+G123*'I. Parametros Grales'!$C$149</f>
        <v>348.02551901237</v>
      </c>
      <c r="I123" s="625">
        <f>+H123*('I. Parametros Grales'!$C$148-1)</f>
        <v>87.0063797530924</v>
      </c>
      <c r="J123" s="625">
        <f t="shared" si="8"/>
        <v>435.031898765462</v>
      </c>
      <c r="K123" s="298">
        <f t="shared" si="9"/>
        <v>158786.643049394</v>
      </c>
      <c r="L123" s="298">
        <f t="shared" si="10"/>
        <v>932181.806719125</v>
      </c>
      <c r="M123" s="602">
        <f>+M122</f>
        <v>1805517.55984157</v>
      </c>
      <c r="N123" s="195" t="s">
        <v>729</v>
      </c>
      <c r="O123" s="629">
        <f t="shared" si="11"/>
        <v>873335.753122445</v>
      </c>
    </row>
    <row r="124" spans="2:15">
      <c r="B124" s="209">
        <v>8</v>
      </c>
      <c r="C124" s="209">
        <v>2032</v>
      </c>
      <c r="D124" s="625">
        <f t="shared" si="6"/>
        <v>243.04248405014</v>
      </c>
      <c r="E124" s="625">
        <f t="shared" si="7"/>
        <v>88710.5066783011</v>
      </c>
      <c r="F124" s="625">
        <f>+D124/'I. Parametros Grales'!$C$144*1000</f>
        <v>486.08496810028</v>
      </c>
      <c r="G124" s="625">
        <f>+D124/'I. Parametros Grales'!$C$145*1000</f>
        <v>347.203548643057</v>
      </c>
      <c r="H124" s="625">
        <f>+G124*'I. Parametros Grales'!$C$149</f>
        <v>350.710655195007</v>
      </c>
      <c r="I124" s="625">
        <f>+H124*('I. Parametros Grales'!$C$148-1)</f>
        <v>87.6776637987518</v>
      </c>
      <c r="J124" s="625">
        <f t="shared" si="8"/>
        <v>438.388318993759</v>
      </c>
      <c r="K124" s="298">
        <f t="shared" si="9"/>
        <v>160011.736432722</v>
      </c>
      <c r="L124" s="298">
        <f t="shared" si="10"/>
        <v>1092193.54315185</v>
      </c>
      <c r="M124" s="602">
        <f t="shared" ref="M124:M128" si="12">+M123</f>
        <v>1805517.55984157</v>
      </c>
      <c r="N124" s="195" t="s">
        <v>729</v>
      </c>
      <c r="O124" s="629">
        <f t="shared" si="11"/>
        <v>713324.016689723</v>
      </c>
    </row>
    <row r="125" spans="2:15">
      <c r="B125" s="209">
        <v>9</v>
      </c>
      <c r="C125" s="209">
        <v>2033</v>
      </c>
      <c r="D125" s="625">
        <f t="shared" si="6"/>
        <v>244.848607357585</v>
      </c>
      <c r="E125" s="625">
        <f t="shared" si="7"/>
        <v>89369.7416855184</v>
      </c>
      <c r="F125" s="625">
        <f>+D125/'I. Parametros Grales'!$C$144*1000</f>
        <v>489.697214715169</v>
      </c>
      <c r="G125" s="625">
        <f>+D125/'I. Parametros Grales'!$C$145*1000</f>
        <v>349.78372479655</v>
      </c>
      <c r="H125" s="625">
        <f>+G125*'I. Parametros Grales'!$C$149</f>
        <v>353.316893733889</v>
      </c>
      <c r="I125" s="625">
        <f>+H125*('I. Parametros Grales'!$C$148-1)</f>
        <v>88.3292234334721</v>
      </c>
      <c r="J125" s="625">
        <f t="shared" si="8"/>
        <v>441.646117167361</v>
      </c>
      <c r="K125" s="298">
        <f t="shared" si="9"/>
        <v>161200.832766087</v>
      </c>
      <c r="L125" s="298">
        <f t="shared" si="10"/>
        <v>1253394.37591793</v>
      </c>
      <c r="M125" s="602">
        <f t="shared" si="12"/>
        <v>1805517.55984157</v>
      </c>
      <c r="N125" s="195" t="s">
        <v>729</v>
      </c>
      <c r="O125" s="629">
        <f t="shared" si="11"/>
        <v>552123.183923637</v>
      </c>
    </row>
    <row r="126" spans="2:15">
      <c r="B126" s="209">
        <v>10</v>
      </c>
      <c r="C126" s="209">
        <v>2034</v>
      </c>
      <c r="D126" s="625">
        <f t="shared" si="6"/>
        <v>246.617165657255</v>
      </c>
      <c r="E126" s="625">
        <f t="shared" si="7"/>
        <v>90015.265464898</v>
      </c>
      <c r="F126" s="625">
        <f>+D126/'I. Parametros Grales'!$C$144*1000</f>
        <v>493.23433131451</v>
      </c>
      <c r="G126" s="625">
        <f>+D126/'I. Parametros Grales'!$C$145*1000</f>
        <v>352.310236653221</v>
      </c>
      <c r="H126" s="625">
        <f>+G126*'I. Parametros Grales'!$C$149</f>
        <v>355.868925912345</v>
      </c>
      <c r="I126" s="625">
        <f>+H126*('I. Parametros Grales'!$C$148-1)</f>
        <v>88.9672314780861</v>
      </c>
      <c r="J126" s="625">
        <f t="shared" si="8"/>
        <v>444.836157390431</v>
      </c>
      <c r="K126" s="298">
        <f t="shared" si="9"/>
        <v>162365.197447507</v>
      </c>
      <c r="L126" s="298">
        <f t="shared" si="10"/>
        <v>1415759.57336544</v>
      </c>
      <c r="M126" s="602">
        <f t="shared" si="12"/>
        <v>1805517.55984157</v>
      </c>
      <c r="N126" s="195" t="s">
        <v>729</v>
      </c>
      <c r="O126" s="629">
        <f t="shared" si="11"/>
        <v>389757.986476129</v>
      </c>
    </row>
    <row r="127" spans="2:15">
      <c r="B127" s="209">
        <v>11</v>
      </c>
      <c r="C127" s="209">
        <v>2035</v>
      </c>
      <c r="D127" s="625">
        <f t="shared" si="6"/>
        <v>248.354164817663</v>
      </c>
      <c r="E127" s="625">
        <f t="shared" si="7"/>
        <v>90649.270158447</v>
      </c>
      <c r="F127" s="625">
        <f>+D127/'I. Parametros Grales'!$C$144*1000</f>
        <v>496.708329635326</v>
      </c>
      <c r="G127" s="625">
        <f>+D127/'I. Parametros Grales'!$C$145*1000</f>
        <v>354.791664025233</v>
      </c>
      <c r="H127" s="625">
        <f>+G127*'I. Parametros Grales'!$C$149</f>
        <v>358.375418207306</v>
      </c>
      <c r="I127" s="625">
        <f>+H127*('I. Parametros Grales'!$C$148-1)</f>
        <v>89.5938545518265</v>
      </c>
      <c r="J127" s="625">
        <f t="shared" si="8"/>
        <v>447.969272759132</v>
      </c>
      <c r="K127" s="298">
        <f t="shared" si="9"/>
        <v>163508.784557083</v>
      </c>
      <c r="L127" s="298">
        <f t="shared" si="10"/>
        <v>1579268.35792252</v>
      </c>
      <c r="M127" s="602">
        <f t="shared" si="12"/>
        <v>1805517.55984157</v>
      </c>
      <c r="N127" s="195" t="s">
        <v>729</v>
      </c>
      <c r="O127" s="629">
        <f t="shared" si="11"/>
        <v>226249.201919046</v>
      </c>
    </row>
    <row r="128" spans="2:15">
      <c r="B128" s="209">
        <v>12</v>
      </c>
      <c r="C128" s="209">
        <v>2036</v>
      </c>
      <c r="D128" s="625">
        <f t="shared" si="6"/>
        <v>250.062834409614</v>
      </c>
      <c r="E128" s="625">
        <f t="shared" si="7"/>
        <v>91272.934559509</v>
      </c>
      <c r="F128" s="625">
        <f>+D128/'I. Parametros Grales'!$C$144*1000</f>
        <v>500.125668819227</v>
      </c>
      <c r="G128" s="625">
        <f>+D128/'I. Parametros Grales'!$C$145*1000</f>
        <v>357.232620585162</v>
      </c>
      <c r="H128" s="625">
        <f>+G128*'I. Parametros Grales'!$C$149</f>
        <v>360.841030894104</v>
      </c>
      <c r="I128" s="625">
        <f>+H128*('I. Parametros Grales'!$C$148-1)</f>
        <v>90.2102577235259</v>
      </c>
      <c r="J128" s="625">
        <f t="shared" si="8"/>
        <v>451.051288617629</v>
      </c>
      <c r="K128" s="298">
        <f t="shared" si="9"/>
        <v>164633.720345435</v>
      </c>
      <c r="L128" s="298">
        <f t="shared" si="10"/>
        <v>1743902.07826796</v>
      </c>
      <c r="M128" s="602">
        <f t="shared" si="12"/>
        <v>1805517.55984157</v>
      </c>
      <c r="N128" s="195" t="s">
        <v>729</v>
      </c>
      <c r="O128" s="629">
        <f t="shared" si="11"/>
        <v>61615.4815736113</v>
      </c>
    </row>
    <row r="129" spans="2:15">
      <c r="B129" s="209">
        <v>13</v>
      </c>
      <c r="C129" s="209">
        <v>2037</v>
      </c>
      <c r="D129" s="625">
        <f t="shared" si="6"/>
        <v>251.735298813076</v>
      </c>
      <c r="E129" s="625">
        <f t="shared" si="7"/>
        <v>91883.3840667726</v>
      </c>
      <c r="F129" s="625">
        <f>+D129/'I. Parametros Grales'!$C$144*1000</f>
        <v>503.470597626151</v>
      </c>
      <c r="G129" s="625">
        <f>+D129/'I. Parametros Grales'!$C$145*1000</f>
        <v>359.621855447251</v>
      </c>
      <c r="H129" s="625">
        <f>+G129*'I. Parametros Grales'!$C$149</f>
        <v>363.254399441668</v>
      </c>
      <c r="I129" s="625">
        <f>+H129*('I. Parametros Grales'!$C$148-1)</f>
        <v>90.8135998604169</v>
      </c>
      <c r="J129" s="625">
        <f t="shared" si="8"/>
        <v>454.067999302084</v>
      </c>
      <c r="K129" s="298">
        <f t="shared" si="9"/>
        <v>165734.819745261</v>
      </c>
      <c r="L129" s="298">
        <f t="shared" si="10"/>
        <v>1909636.89801322</v>
      </c>
      <c r="M129" s="602">
        <f>+M128+G104</f>
        <v>3619967.52154936</v>
      </c>
      <c r="N129" s="195" t="s">
        <v>730</v>
      </c>
      <c r="O129" s="629">
        <f t="shared" ref="O129:O147" si="13">+M129-L129</f>
        <v>1710330.62353614</v>
      </c>
    </row>
    <row r="130" spans="2:15">
      <c r="B130" s="209">
        <v>14</v>
      </c>
      <c r="C130" s="209">
        <v>2038</v>
      </c>
      <c r="D130" s="625">
        <f t="shared" si="6"/>
        <v>253.35280385373</v>
      </c>
      <c r="E130" s="625">
        <f t="shared" si="7"/>
        <v>92473.7734066114</v>
      </c>
      <c r="F130" s="625">
        <f>+D130/'I. Parametros Grales'!$C$144*1000</f>
        <v>506.70560770746</v>
      </c>
      <c r="G130" s="625">
        <f>+D130/'I. Parametros Grales'!$C$145*1000</f>
        <v>361.9325769339</v>
      </c>
      <c r="H130" s="625">
        <f>+G130*'I. Parametros Grales'!$C$149</f>
        <v>365.588461549394</v>
      </c>
      <c r="I130" s="625">
        <f>+H130*('I. Parametros Grales'!$C$148-1)</f>
        <v>91.3971153873484</v>
      </c>
      <c r="J130" s="625">
        <f t="shared" si="8"/>
        <v>456.985576936742</v>
      </c>
      <c r="K130" s="298">
        <f t="shared" si="9"/>
        <v>166799.735581911</v>
      </c>
      <c r="L130" s="298">
        <f t="shared" si="10"/>
        <v>2076436.63359513</v>
      </c>
      <c r="M130" s="602">
        <f t="shared" ref="M130:M139" si="14">+$M$129</f>
        <v>3619967.52154936</v>
      </c>
      <c r="N130" s="195" t="s">
        <v>730</v>
      </c>
      <c r="O130" s="629">
        <f t="shared" si="13"/>
        <v>1543530.88795423</v>
      </c>
    </row>
    <row r="131" spans="2:15">
      <c r="B131" s="209">
        <v>15</v>
      </c>
      <c r="C131" s="209">
        <v>2039</v>
      </c>
      <c r="D131" s="625">
        <f t="shared" si="6"/>
        <v>254.890929443566</v>
      </c>
      <c r="E131" s="625">
        <f t="shared" si="7"/>
        <v>93035.1892469015</v>
      </c>
      <c r="F131" s="625">
        <f>+D131/'I. Parametros Grales'!$C$144*1000</f>
        <v>509.781858887132</v>
      </c>
      <c r="G131" s="625">
        <f>+D131/'I. Parametros Grales'!$C$145*1000</f>
        <v>364.129899205094</v>
      </c>
      <c r="H131" s="625">
        <f>+G131*'I. Parametros Grales'!$C$149</f>
        <v>367.807978995045</v>
      </c>
      <c r="I131" s="625">
        <f>+H131*('I. Parametros Grales'!$C$148-1)</f>
        <v>91.9519947487612</v>
      </c>
      <c r="J131" s="625">
        <f t="shared" si="8"/>
        <v>459.759973743806</v>
      </c>
      <c r="K131" s="298">
        <f t="shared" si="9"/>
        <v>167812.390416489</v>
      </c>
      <c r="L131" s="298">
        <f t="shared" si="10"/>
        <v>2244249.02401162</v>
      </c>
      <c r="M131" s="602">
        <f t="shared" si="14"/>
        <v>3619967.52154936</v>
      </c>
      <c r="N131" s="195" t="s">
        <v>730</v>
      </c>
      <c r="O131" s="629">
        <f t="shared" si="13"/>
        <v>1375718.49753774</v>
      </c>
    </row>
    <row r="132" spans="2:15">
      <c r="B132" s="209">
        <v>16</v>
      </c>
      <c r="C132" s="209">
        <v>2040</v>
      </c>
      <c r="D132" s="625">
        <f t="shared" si="6"/>
        <v>256.325085517163</v>
      </c>
      <c r="E132" s="625">
        <f t="shared" si="7"/>
        <v>93558.6562137643</v>
      </c>
      <c r="F132" s="625">
        <f>+D132/'I. Parametros Grales'!$C$144*1000</f>
        <v>512.650171034325</v>
      </c>
      <c r="G132" s="625">
        <f>+D132/'I. Parametros Grales'!$C$145*1000</f>
        <v>366.178693595947</v>
      </c>
      <c r="H132" s="625">
        <f>+G132*'I. Parametros Grales'!$C$149</f>
        <v>369.877468278734</v>
      </c>
      <c r="I132" s="625">
        <f>+H132*('I. Parametros Grales'!$C$148-1)</f>
        <v>92.4693670696835</v>
      </c>
      <c r="J132" s="625">
        <f t="shared" si="8"/>
        <v>462.346835348417</v>
      </c>
      <c r="K132" s="298">
        <f t="shared" si="9"/>
        <v>168756.594902172</v>
      </c>
      <c r="L132" s="298">
        <f t="shared" si="10"/>
        <v>2413005.61891379</v>
      </c>
      <c r="M132" s="602">
        <f t="shared" si="14"/>
        <v>3619967.52154936</v>
      </c>
      <c r="N132" s="195" t="s">
        <v>730</v>
      </c>
      <c r="O132" s="629">
        <f t="shared" si="13"/>
        <v>1206961.90263557</v>
      </c>
    </row>
    <row r="133" spans="2:15">
      <c r="B133" s="209">
        <v>17</v>
      </c>
      <c r="C133" s="209">
        <v>2041</v>
      </c>
      <c r="D133" s="625">
        <f t="shared" si="6"/>
        <v>257.634024898177</v>
      </c>
      <c r="E133" s="625">
        <f t="shared" si="7"/>
        <v>94036.4190878345</v>
      </c>
      <c r="F133" s="625">
        <f>+D133/'I. Parametros Grales'!$C$144*1000</f>
        <v>515.268049796353</v>
      </c>
      <c r="G133" s="625">
        <f>+D133/'I. Parametros Grales'!$C$145*1000</f>
        <v>368.048606997395</v>
      </c>
      <c r="H133" s="625">
        <f>+G133*'I. Parametros Grales'!$C$149</f>
        <v>371.766269694339</v>
      </c>
      <c r="I133" s="625">
        <f>+H133*('I. Parametros Grales'!$C$148-1)</f>
        <v>92.9415674235846</v>
      </c>
      <c r="J133" s="625">
        <f t="shared" si="8"/>
        <v>464.707837117923</v>
      </c>
      <c r="K133" s="298">
        <f t="shared" si="9"/>
        <v>169618.360548042</v>
      </c>
      <c r="L133" s="298">
        <f t="shared" si="10"/>
        <v>2582623.97946183</v>
      </c>
      <c r="M133" s="602">
        <f t="shared" si="14"/>
        <v>3619967.52154936</v>
      </c>
      <c r="N133" s="195" t="s">
        <v>730</v>
      </c>
      <c r="O133" s="629">
        <f t="shared" si="13"/>
        <v>1037343.54208752</v>
      </c>
    </row>
    <row r="134" spans="2:15">
      <c r="B134" s="209">
        <v>18</v>
      </c>
      <c r="C134" s="209">
        <v>2042</v>
      </c>
      <c r="D134" s="625">
        <f t="shared" si="6"/>
        <v>258.810948490179</v>
      </c>
      <c r="E134" s="625">
        <f t="shared" si="7"/>
        <v>94465.9961989152</v>
      </c>
      <c r="F134" s="625">
        <f>+D134/'I. Parametros Grales'!$C$144*1000</f>
        <v>517.621896980357</v>
      </c>
      <c r="G134" s="625">
        <f>+D134/'I. Parametros Grales'!$C$145*1000</f>
        <v>369.729926414541</v>
      </c>
      <c r="H134" s="625">
        <f>+G134*'I. Parametros Grales'!$C$149</f>
        <v>373.4645721359</v>
      </c>
      <c r="I134" s="625">
        <f>+H134*('I. Parametros Grales'!$C$148-1)</f>
        <v>93.366143033975</v>
      </c>
      <c r="J134" s="625">
        <f t="shared" si="8"/>
        <v>466.830715169875</v>
      </c>
      <c r="K134" s="298">
        <f t="shared" si="9"/>
        <v>170393.211037004</v>
      </c>
      <c r="L134" s="298">
        <f t="shared" si="10"/>
        <v>2753017.19049884</v>
      </c>
      <c r="M134" s="602">
        <f t="shared" si="14"/>
        <v>3619967.52154936</v>
      </c>
      <c r="N134" s="195" t="s">
        <v>730</v>
      </c>
      <c r="O134" s="629">
        <f t="shared" si="13"/>
        <v>866950.33105052</v>
      </c>
    </row>
    <row r="135" spans="2:15">
      <c r="B135" s="209">
        <v>19</v>
      </c>
      <c r="C135" s="209">
        <v>2043</v>
      </c>
      <c r="D135" s="625">
        <f t="shared" si="6"/>
        <v>259.855346360936</v>
      </c>
      <c r="E135" s="625">
        <f t="shared" si="7"/>
        <v>94847.2014217416</v>
      </c>
      <c r="F135" s="625">
        <f>+D135/'I. Parametros Grales'!$C$144*1000</f>
        <v>519.710692721872</v>
      </c>
      <c r="G135" s="625">
        <f>+D135/'I. Parametros Grales'!$C$145*1000</f>
        <v>371.221923372766</v>
      </c>
      <c r="H135" s="625">
        <f>+G135*'I. Parametros Grales'!$C$149</f>
        <v>374.97163977047</v>
      </c>
      <c r="I135" s="625">
        <f>+H135*('I. Parametros Grales'!$C$148-1)</f>
        <v>93.7429099426176</v>
      </c>
      <c r="J135" s="625">
        <f t="shared" si="8"/>
        <v>468.714549713088</v>
      </c>
      <c r="K135" s="298">
        <f t="shared" si="9"/>
        <v>171080.810645277</v>
      </c>
      <c r="L135" s="298">
        <f t="shared" si="10"/>
        <v>2924098.00114412</v>
      </c>
      <c r="M135" s="602">
        <f t="shared" si="14"/>
        <v>3619967.52154936</v>
      </c>
      <c r="N135" s="195" t="s">
        <v>730</v>
      </c>
      <c r="O135" s="629">
        <f t="shared" si="13"/>
        <v>695869.520405243</v>
      </c>
    </row>
    <row r="136" spans="2:15">
      <c r="B136" s="209">
        <v>20</v>
      </c>
      <c r="C136" s="209">
        <v>2044</v>
      </c>
      <c r="D136" s="625">
        <f t="shared" si="6"/>
        <v>260.779060270064</v>
      </c>
      <c r="E136" s="625">
        <f t="shared" si="7"/>
        <v>95184.3569985733</v>
      </c>
      <c r="F136" s="625">
        <f>+D136/'I. Parametros Grales'!$C$144*1000</f>
        <v>521.558120540128</v>
      </c>
      <c r="G136" s="625">
        <f>+D136/'I. Parametros Grales'!$C$145*1000</f>
        <v>372.54151467152</v>
      </c>
      <c r="H136" s="625">
        <f>+G136*'I. Parametros Grales'!$C$149</f>
        <v>376.304560274262</v>
      </c>
      <c r="I136" s="625">
        <f>+H136*('I. Parametros Grales'!$C$148-1)</f>
        <v>94.0761400685656</v>
      </c>
      <c r="J136" s="625">
        <f t="shared" si="8"/>
        <v>470.380700342828</v>
      </c>
      <c r="K136" s="298">
        <f t="shared" si="9"/>
        <v>171688.955625132</v>
      </c>
      <c r="L136" s="298">
        <f t="shared" si="10"/>
        <v>3095786.95676925</v>
      </c>
      <c r="M136" s="602">
        <f t="shared" si="14"/>
        <v>3619967.52154936</v>
      </c>
      <c r="N136" s="195" t="s">
        <v>730</v>
      </c>
      <c r="O136" s="629">
        <f t="shared" si="13"/>
        <v>524180.564780111</v>
      </c>
    </row>
    <row r="137" spans="2:15">
      <c r="B137" s="209">
        <v>21</v>
      </c>
      <c r="C137" s="209">
        <v>2045</v>
      </c>
      <c r="D137" s="625">
        <f t="shared" si="6"/>
        <v>261.592685476166</v>
      </c>
      <c r="E137" s="625">
        <f t="shared" si="7"/>
        <v>95481.3301988004</v>
      </c>
      <c r="F137" s="625">
        <f>+D137/'I. Parametros Grales'!$C$144*1000</f>
        <v>523.185370952331</v>
      </c>
      <c r="G137" s="625">
        <f>+D137/'I. Parametros Grales'!$C$145*1000</f>
        <v>373.703836394522</v>
      </c>
      <c r="H137" s="625">
        <f>+G137*'I. Parametros Grales'!$C$149</f>
        <v>377.47862262073</v>
      </c>
      <c r="I137" s="625">
        <f>+H137*('I. Parametros Grales'!$C$148-1)</f>
        <v>94.3696556551824</v>
      </c>
      <c r="J137" s="625">
        <f t="shared" si="8"/>
        <v>471.848278275912</v>
      </c>
      <c r="K137" s="298">
        <f t="shared" si="9"/>
        <v>172224.621570708</v>
      </c>
      <c r="L137" s="298">
        <f t="shared" si="10"/>
        <v>3268011.57833996</v>
      </c>
      <c r="M137" s="602">
        <f t="shared" si="14"/>
        <v>3619967.52154936</v>
      </c>
      <c r="N137" s="195" t="s">
        <v>730</v>
      </c>
      <c r="O137" s="629">
        <f t="shared" si="13"/>
        <v>351955.943209403</v>
      </c>
    </row>
    <row r="138" spans="2:15">
      <c r="B138" s="209">
        <v>22</v>
      </c>
      <c r="C138" s="209">
        <v>2046</v>
      </c>
      <c r="D138" s="625">
        <f t="shared" si="6"/>
        <v>262.312199855851</v>
      </c>
      <c r="E138" s="625">
        <f t="shared" si="7"/>
        <v>95743.9529473857</v>
      </c>
      <c r="F138" s="625">
        <f>+D138/'I. Parametros Grales'!$C$144*1000</f>
        <v>524.624399711702</v>
      </c>
      <c r="G138" s="625">
        <f>+D138/'I. Parametros Grales'!$C$145*1000</f>
        <v>374.731714079787</v>
      </c>
      <c r="H138" s="625">
        <f>+G138*'I. Parametros Grales'!$C$149</f>
        <v>378.516882908876</v>
      </c>
      <c r="I138" s="625">
        <f>+H138*('I. Parametros Grales'!$C$148-1)</f>
        <v>94.6292207272191</v>
      </c>
      <c r="J138" s="625">
        <f t="shared" si="8"/>
        <v>473.146103636095</v>
      </c>
      <c r="K138" s="298">
        <f t="shared" si="9"/>
        <v>172698.327827175</v>
      </c>
      <c r="L138" s="298">
        <f t="shared" si="10"/>
        <v>3440709.90616713</v>
      </c>
      <c r="M138" s="602">
        <f t="shared" si="14"/>
        <v>3619967.52154936</v>
      </c>
      <c r="N138" s="195" t="s">
        <v>730</v>
      </c>
      <c r="O138" s="629">
        <f t="shared" si="13"/>
        <v>179257.615382229</v>
      </c>
    </row>
    <row r="139" spans="2:15">
      <c r="B139" s="209">
        <v>23</v>
      </c>
      <c r="C139" s="209">
        <v>2047</v>
      </c>
      <c r="D139" s="625">
        <f t="shared" si="6"/>
        <v>262.953297990046</v>
      </c>
      <c r="E139" s="625">
        <f t="shared" si="7"/>
        <v>95977.9537663669</v>
      </c>
      <c r="F139" s="625">
        <f>+D139/'I. Parametros Grales'!$C$144*1000</f>
        <v>525.906595980093</v>
      </c>
      <c r="G139" s="625">
        <f>+D139/'I. Parametros Grales'!$C$145*1000</f>
        <v>375.647568557209</v>
      </c>
      <c r="H139" s="625">
        <f>+G139*'I. Parametros Grales'!$C$149</f>
        <v>379.441988441625</v>
      </c>
      <c r="I139" s="625">
        <f>+H139*('I. Parametros Grales'!$C$148-1)</f>
        <v>94.8604971104064</v>
      </c>
      <c r="J139" s="625">
        <f t="shared" si="8"/>
        <v>474.302485552032</v>
      </c>
      <c r="K139" s="298">
        <f t="shared" si="9"/>
        <v>173120.407226492</v>
      </c>
      <c r="L139" s="298">
        <f t="shared" si="10"/>
        <v>3613830.31339362</v>
      </c>
      <c r="M139" s="602">
        <f t="shared" si="14"/>
        <v>3619967.52154936</v>
      </c>
      <c r="N139" s="195" t="s">
        <v>730</v>
      </c>
      <c r="O139" s="629">
        <f t="shared" si="13"/>
        <v>6137.20815573679</v>
      </c>
    </row>
    <row r="140" spans="2:15">
      <c r="B140" s="209">
        <v>24</v>
      </c>
      <c r="C140" s="209">
        <v>2048</v>
      </c>
      <c r="D140" s="625">
        <f t="shared" si="6"/>
        <v>263.530201322117</v>
      </c>
      <c r="E140" s="625">
        <f t="shared" si="7"/>
        <v>96188.5234825726</v>
      </c>
      <c r="F140" s="625">
        <f>+D140/'I. Parametros Grales'!$C$144*1000</f>
        <v>527.060402644233</v>
      </c>
      <c r="G140" s="625">
        <f>+D140/'I. Parametros Grales'!$C$145*1000</f>
        <v>376.471716174452</v>
      </c>
      <c r="H140" s="625">
        <f>+G140*'I. Parametros Grales'!$C$149</f>
        <v>380.274460782275</v>
      </c>
      <c r="I140" s="625">
        <f>+H140*('I. Parametros Grales'!$C$148-1)</f>
        <v>95.0686151955688</v>
      </c>
      <c r="J140" s="625">
        <f t="shared" si="8"/>
        <v>475.343075977844</v>
      </c>
      <c r="K140" s="298">
        <f t="shared" si="9"/>
        <v>173500.222731913</v>
      </c>
      <c r="L140" s="298">
        <f t="shared" si="10"/>
        <v>3787330.53612554</v>
      </c>
      <c r="M140" s="602">
        <f>+M139+G105</f>
        <v>4929200.56200326</v>
      </c>
      <c r="N140" s="195" t="s">
        <v>731</v>
      </c>
      <c r="O140" s="629">
        <f t="shared" si="13"/>
        <v>1141870.02587773</v>
      </c>
    </row>
    <row r="141" spans="2:15">
      <c r="B141" s="209">
        <v>25</v>
      </c>
      <c r="C141" s="209">
        <v>2049</v>
      </c>
      <c r="D141" s="625">
        <f t="shared" si="6"/>
        <v>264.052881860159</v>
      </c>
      <c r="E141" s="625">
        <f t="shared" si="7"/>
        <v>96379.3018789581</v>
      </c>
      <c r="F141" s="625">
        <f>+D141/'I. Parametros Grales'!$C$144*1000</f>
        <v>528.105763720318</v>
      </c>
      <c r="G141" s="625">
        <f>+D141/'I. Parametros Grales'!$C$145*1000</f>
        <v>377.21840265737</v>
      </c>
      <c r="H141" s="625">
        <f>+G141*'I. Parametros Grales'!$C$149</f>
        <v>381.028689552899</v>
      </c>
      <c r="I141" s="625">
        <f>+H141*('I. Parametros Grales'!$C$148-1)</f>
        <v>95.2571723882248</v>
      </c>
      <c r="J141" s="625">
        <f t="shared" si="8"/>
        <v>476.285861941124</v>
      </c>
      <c r="K141" s="298">
        <f t="shared" si="9"/>
        <v>173844.33960851</v>
      </c>
      <c r="L141" s="298">
        <f t="shared" si="10"/>
        <v>3961174.87573405</v>
      </c>
      <c r="M141" s="602">
        <f>+M140</f>
        <v>4929200.56200326</v>
      </c>
      <c r="N141" s="195" t="s">
        <v>731</v>
      </c>
      <c r="O141" s="629">
        <f t="shared" si="13"/>
        <v>968025.686269215</v>
      </c>
    </row>
    <row r="142" spans="2:15">
      <c r="B142" s="209">
        <v>26</v>
      </c>
      <c r="C142" s="209">
        <v>2050</v>
      </c>
      <c r="D142" s="625">
        <f t="shared" si="6"/>
        <v>264.527572109234</v>
      </c>
      <c r="E142" s="625">
        <f t="shared" si="7"/>
        <v>96552.5638198705</v>
      </c>
      <c r="F142" s="625">
        <f>+D142/'I. Parametros Grales'!$C$144*1000</f>
        <v>529.055144218469</v>
      </c>
      <c r="G142" s="625">
        <f>+D142/'I. Parametros Grales'!$C$145*1000</f>
        <v>377.89653158462</v>
      </c>
      <c r="H142" s="625">
        <f>+G142*'I. Parametros Grales'!$C$149</f>
        <v>381.713668267293</v>
      </c>
      <c r="I142" s="625">
        <f>+H142*('I. Parametros Grales'!$C$148-1)</f>
        <v>95.4284170668234</v>
      </c>
      <c r="J142" s="625">
        <f t="shared" si="8"/>
        <v>477.142085334117</v>
      </c>
      <c r="K142" s="298">
        <f t="shared" si="9"/>
        <v>174156.861146953</v>
      </c>
      <c r="L142" s="298">
        <f t="shared" si="10"/>
        <v>4135331.736881</v>
      </c>
      <c r="M142" s="602">
        <f t="shared" ref="M142:M146" si="15">+M141</f>
        <v>4929200.56200326</v>
      </c>
      <c r="N142" s="195" t="s">
        <v>731</v>
      </c>
      <c r="O142" s="629">
        <f t="shared" si="13"/>
        <v>793868.825122263</v>
      </c>
    </row>
    <row r="143" spans="2:15">
      <c r="B143" s="209">
        <v>27</v>
      </c>
      <c r="C143" s="209">
        <v>2051</v>
      </c>
      <c r="D143" s="625">
        <f t="shared" si="6"/>
        <v>264.953705477973</v>
      </c>
      <c r="E143" s="625">
        <f t="shared" si="7"/>
        <v>96708.1024994602</v>
      </c>
      <c r="F143" s="625">
        <f>+D143/'I. Parametros Grales'!$C$144*1000</f>
        <v>529.907410955947</v>
      </c>
      <c r="G143" s="625">
        <f>+D143/'I. Parametros Grales'!$C$145*1000</f>
        <v>378.505293539962</v>
      </c>
      <c r="H143" s="625">
        <f>+G143*'I. Parametros Grales'!$C$149</f>
        <v>382.328579333295</v>
      </c>
      <c r="I143" s="625">
        <f>+H143*('I. Parametros Grales'!$C$148-1)</f>
        <v>95.5821448333237</v>
      </c>
      <c r="J143" s="625">
        <f t="shared" si="8"/>
        <v>477.910724166619</v>
      </c>
      <c r="K143" s="298">
        <f t="shared" si="9"/>
        <v>174437.414320816</v>
      </c>
      <c r="L143" s="298">
        <f t="shared" si="10"/>
        <v>4309769.15120181</v>
      </c>
      <c r="M143" s="602">
        <f t="shared" si="15"/>
        <v>4929200.56200326</v>
      </c>
      <c r="N143" s="195" t="s">
        <v>731</v>
      </c>
      <c r="O143" s="629">
        <f t="shared" si="13"/>
        <v>619431.410801447</v>
      </c>
    </row>
    <row r="144" spans="2:15">
      <c r="B144" s="209">
        <v>28</v>
      </c>
      <c r="C144" s="209">
        <v>2052</v>
      </c>
      <c r="D144" s="625">
        <f t="shared" si="6"/>
        <v>265.32697587197</v>
      </c>
      <c r="E144" s="625">
        <f t="shared" si="7"/>
        <v>96844.3461932692</v>
      </c>
      <c r="F144" s="625">
        <f>+D144/'I. Parametros Grales'!$C$144*1000</f>
        <v>530.653951743941</v>
      </c>
      <c r="G144" s="625">
        <f>+D144/'I. Parametros Grales'!$C$145*1000</f>
        <v>379.038536959958</v>
      </c>
      <c r="H144" s="625">
        <f>+G144*'I. Parametros Grales'!$C$149</f>
        <v>382.867209050462</v>
      </c>
      <c r="I144" s="625">
        <f>+H144*('I. Parametros Grales'!$C$148-1)</f>
        <v>95.7168022626156</v>
      </c>
      <c r="J144" s="625">
        <f t="shared" si="8"/>
        <v>478.584011313078</v>
      </c>
      <c r="K144" s="298">
        <f t="shared" si="9"/>
        <v>174683.164129273</v>
      </c>
      <c r="L144" s="298">
        <f t="shared" si="10"/>
        <v>4484452.31533109</v>
      </c>
      <c r="M144" s="602">
        <f t="shared" si="15"/>
        <v>4929200.56200326</v>
      </c>
      <c r="N144" s="195" t="s">
        <v>731</v>
      </c>
      <c r="O144" s="629">
        <f t="shared" si="13"/>
        <v>444748.246672174</v>
      </c>
    </row>
    <row r="145" spans="2:15">
      <c r="B145" s="209">
        <v>29</v>
      </c>
      <c r="C145" s="209">
        <v>2053</v>
      </c>
      <c r="D145" s="625">
        <f t="shared" si="6"/>
        <v>265.6353715542</v>
      </c>
      <c r="E145" s="625">
        <f t="shared" si="7"/>
        <v>96956.9106172829</v>
      </c>
      <c r="F145" s="625">
        <f>+D145/'I. Parametros Grales'!$C$144*1000</f>
        <v>531.2707431084</v>
      </c>
      <c r="G145" s="625">
        <f>+D145/'I. Parametros Grales'!$C$145*1000</f>
        <v>379.479102220285</v>
      </c>
      <c r="H145" s="625">
        <f>+G145*'I. Parametros Grales'!$C$149</f>
        <v>383.312224464935</v>
      </c>
      <c r="I145" s="625">
        <f>+H145*('I. Parametros Grales'!$C$148-1)</f>
        <v>95.8280561162337</v>
      </c>
      <c r="J145" s="625">
        <f t="shared" si="8"/>
        <v>479.140280581168</v>
      </c>
      <c r="K145" s="298">
        <f t="shared" si="9"/>
        <v>174886.202412126</v>
      </c>
      <c r="L145" s="298">
        <f t="shared" si="10"/>
        <v>4659338.51774321</v>
      </c>
      <c r="M145" s="602">
        <f t="shared" si="15"/>
        <v>4929200.56200326</v>
      </c>
      <c r="N145" s="195" t="s">
        <v>731</v>
      </c>
      <c r="O145" s="629">
        <f t="shared" si="13"/>
        <v>269862.044260047</v>
      </c>
    </row>
    <row r="146" spans="2:15">
      <c r="B146" s="209">
        <v>30</v>
      </c>
      <c r="C146" s="209">
        <v>2054</v>
      </c>
      <c r="D146" s="625">
        <f t="shared" si="6"/>
        <v>265.86331126201</v>
      </c>
      <c r="E146" s="625">
        <f t="shared" si="7"/>
        <v>97040.1086106335</v>
      </c>
      <c r="F146" s="625">
        <f>+D146/'I. Parametros Grales'!$C$144*1000</f>
        <v>531.726622524019</v>
      </c>
      <c r="G146" s="625">
        <f>+D146/'I. Parametros Grales'!$C$145*1000</f>
        <v>379.804730374299</v>
      </c>
      <c r="H146" s="625">
        <f>+G146*'I. Parametros Grales'!$C$149</f>
        <v>383.641141792222</v>
      </c>
      <c r="I146" s="625">
        <f>+H146*('I. Parametros Grales'!$C$148-1)</f>
        <v>95.9102854480554</v>
      </c>
      <c r="J146" s="625">
        <f t="shared" si="8"/>
        <v>479.551427240277</v>
      </c>
      <c r="K146" s="298">
        <f t="shared" si="9"/>
        <v>175036.270942701</v>
      </c>
      <c r="L146" s="298">
        <f t="shared" si="10"/>
        <v>4834374.78868591</v>
      </c>
      <c r="M146" s="602">
        <f t="shared" si="15"/>
        <v>4929200.56200326</v>
      </c>
      <c r="N146" s="195" t="s">
        <v>731</v>
      </c>
      <c r="O146" s="629">
        <f t="shared" si="13"/>
        <v>94825.7733173463</v>
      </c>
    </row>
    <row r="147" spans="2:15">
      <c r="B147" s="209">
        <v>31</v>
      </c>
      <c r="C147" s="209">
        <v>2055</v>
      </c>
      <c r="D147" s="625">
        <f t="shared" si="6"/>
        <v>265.996686870308</v>
      </c>
      <c r="E147" s="625">
        <f t="shared" si="7"/>
        <v>97088.7907076623</v>
      </c>
      <c r="F147" s="625">
        <f>+D147/'I. Parametros Grales'!$C$144*1000</f>
        <v>531.993373740615</v>
      </c>
      <c r="G147" s="625">
        <f>+D147/'I. Parametros Grales'!$C$145*1000</f>
        <v>379.995266957582</v>
      </c>
      <c r="H147" s="625">
        <f>+G147*'I. Parametros Grales'!$C$149</f>
        <v>383.833602987457</v>
      </c>
      <c r="I147" s="625">
        <f>+H147*('I. Parametros Grales'!$C$148-1)</f>
        <v>95.9584007468643</v>
      </c>
      <c r="J147" s="625">
        <f t="shared" si="8"/>
        <v>479.792003734321</v>
      </c>
      <c r="K147" s="298">
        <f t="shared" si="9"/>
        <v>175124.081363027</v>
      </c>
      <c r="L147" s="298">
        <f t="shared" si="10"/>
        <v>5009498.87004894</v>
      </c>
      <c r="M147" s="602">
        <f>+M146+G106</f>
        <v>6071972.02325685</v>
      </c>
      <c r="N147" s="195" t="s">
        <v>732</v>
      </c>
      <c r="O147" s="629">
        <f t="shared" si="13"/>
        <v>1062473.15320791</v>
      </c>
    </row>
    <row r="148" spans="2:15">
      <c r="B148" s="209">
        <v>32</v>
      </c>
      <c r="C148" s="209">
        <v>2056</v>
      </c>
      <c r="D148" s="625">
        <f t="shared" si="6"/>
        <v>266.027339463379</v>
      </c>
      <c r="E148" s="625">
        <f t="shared" si="7"/>
        <v>97099.9789041333</v>
      </c>
      <c r="F148" s="625">
        <f>+D148/'I. Parametros Grales'!$C$144*1000</f>
        <v>532.054678926758</v>
      </c>
      <c r="G148" s="625">
        <f>+D148/'I. Parametros Grales'!$C$145*1000</f>
        <v>380.039056376256</v>
      </c>
      <c r="H148" s="625">
        <f>+G148*'I. Parametros Grales'!$C$149</f>
        <v>383.877834723491</v>
      </c>
      <c r="I148" s="625">
        <f>+H148*('I. Parametros Grales'!$C$148-1)</f>
        <v>95.9694586808726</v>
      </c>
      <c r="J148" s="625">
        <f t="shared" si="8"/>
        <v>479.847293404363</v>
      </c>
      <c r="K148" s="298">
        <f t="shared" si="9"/>
        <v>175144.262092593</v>
      </c>
      <c r="L148" s="298">
        <f t="shared" si="10"/>
        <v>5184643.13214153</v>
      </c>
      <c r="M148" s="602">
        <f>+M147</f>
        <v>6071972.02325685</v>
      </c>
      <c r="N148" s="195" t="s">
        <v>732</v>
      </c>
      <c r="O148" s="629">
        <f t="shared" si="11"/>
        <v>887328.891115314</v>
      </c>
    </row>
    <row r="149" spans="2:15">
      <c r="B149" s="209">
        <v>33</v>
      </c>
      <c r="C149" s="209">
        <v>2057</v>
      </c>
      <c r="D149" s="625">
        <f t="shared" si="6"/>
        <v>265.95073631027</v>
      </c>
      <c r="E149" s="625">
        <f t="shared" si="7"/>
        <v>97072.0187532484</v>
      </c>
      <c r="F149" s="625">
        <f>+D149/'I. Parametros Grales'!$C$144*1000</f>
        <v>531.901472620539</v>
      </c>
      <c r="G149" s="625">
        <f>+D149/'I. Parametros Grales'!$C$145*1000</f>
        <v>379.929623300385</v>
      </c>
      <c r="H149" s="625">
        <f>+G149*'I. Parametros Grales'!$C$149</f>
        <v>383.767296263015</v>
      </c>
      <c r="I149" s="625">
        <f>+H149*('I. Parametros Grales'!$C$148-1)</f>
        <v>95.9418240657538</v>
      </c>
      <c r="J149" s="625">
        <f t="shared" si="8"/>
        <v>479.709120328769</v>
      </c>
      <c r="K149" s="298">
        <f t="shared" si="9"/>
        <v>175093.828920001</v>
      </c>
      <c r="L149" s="298">
        <f t="shared" si="10"/>
        <v>5359736.96106153</v>
      </c>
      <c r="M149" s="602">
        <f t="shared" ref="M149:M153" si="16">+M148</f>
        <v>6071972.02325685</v>
      </c>
      <c r="N149" s="195" t="s">
        <v>732</v>
      </c>
      <c r="O149" s="629">
        <f t="shared" si="11"/>
        <v>712235.062195314</v>
      </c>
    </row>
    <row r="150" spans="2:15">
      <c r="B150" s="209">
        <v>34</v>
      </c>
      <c r="C150" s="209">
        <v>2058</v>
      </c>
      <c r="D150" s="625">
        <f t="shared" si="6"/>
        <v>265.769540390415</v>
      </c>
      <c r="E150" s="625">
        <f t="shared" si="7"/>
        <v>97005.8822425014</v>
      </c>
      <c r="F150" s="625">
        <f>+D150/'I. Parametros Grales'!$C$144*1000</f>
        <v>531.53908078083</v>
      </c>
      <c r="G150" s="625">
        <f>+D150/'I. Parametros Grales'!$C$145*1000</f>
        <v>379.670771986307</v>
      </c>
      <c r="H150" s="625">
        <f>+G150*'I. Parametros Grales'!$C$149</f>
        <v>383.505830289199</v>
      </c>
      <c r="I150" s="625">
        <f>+H150*('I. Parametros Grales'!$C$148-1)</f>
        <v>95.8764575722997</v>
      </c>
      <c r="J150" s="625">
        <f t="shared" si="8"/>
        <v>479.382287861499</v>
      </c>
      <c r="K150" s="298">
        <f t="shared" si="9"/>
        <v>174974.535069447</v>
      </c>
      <c r="L150" s="298">
        <f t="shared" si="10"/>
        <v>5534711.49613098</v>
      </c>
      <c r="M150" s="602">
        <f t="shared" si="16"/>
        <v>6071972.02325685</v>
      </c>
      <c r="N150" s="195" t="s">
        <v>732</v>
      </c>
      <c r="O150" s="629">
        <f t="shared" si="11"/>
        <v>537260.527125867</v>
      </c>
    </row>
    <row r="151" spans="2:15">
      <c r="B151" s="209">
        <v>35</v>
      </c>
      <c r="C151" s="209">
        <v>2059</v>
      </c>
      <c r="D151" s="625">
        <f t="shared" si="6"/>
        <v>265.491117391614</v>
      </c>
      <c r="E151" s="625">
        <f t="shared" si="7"/>
        <v>96904.257847939</v>
      </c>
      <c r="F151" s="625">
        <f>+D151/'I. Parametros Grales'!$C$144*1000</f>
        <v>530.982234783227</v>
      </c>
      <c r="G151" s="625">
        <f>+D151/'I. Parametros Grales'!$C$145*1000</f>
        <v>379.273024845162</v>
      </c>
      <c r="H151" s="625">
        <f>+G151*'I. Parametros Grales'!$C$149</f>
        <v>383.104065500164</v>
      </c>
      <c r="I151" s="625">
        <f>+H151*('I. Parametros Grales'!$C$148-1)</f>
        <v>95.776016375041</v>
      </c>
      <c r="J151" s="625">
        <f t="shared" si="8"/>
        <v>478.880081875205</v>
      </c>
      <c r="K151" s="298">
        <f t="shared" si="9"/>
        <v>174791.22988445</v>
      </c>
      <c r="L151" s="298">
        <f t="shared" si="10"/>
        <v>5709502.72601543</v>
      </c>
      <c r="M151" s="602">
        <f t="shared" si="16"/>
        <v>6071972.02325685</v>
      </c>
      <c r="N151" s="195" t="s">
        <v>732</v>
      </c>
      <c r="O151" s="629">
        <f t="shared" si="11"/>
        <v>362469.297241417</v>
      </c>
    </row>
    <row r="152" spans="2:15">
      <c r="B152" s="209">
        <v>36</v>
      </c>
      <c r="C152" s="209">
        <v>2060</v>
      </c>
      <c r="D152" s="625">
        <f t="shared" si="6"/>
        <v>265.126345868154</v>
      </c>
      <c r="E152" s="625">
        <f t="shared" si="7"/>
        <v>96771.1162418762</v>
      </c>
      <c r="F152" s="625">
        <f>+D152/'I. Parametros Grales'!$C$144*1000</f>
        <v>530.252691736308</v>
      </c>
      <c r="G152" s="625">
        <f>+D152/'I. Parametros Grales'!$C$145*1000</f>
        <v>378.751922668791</v>
      </c>
      <c r="H152" s="625">
        <f>+G152*'I. Parametros Grales'!$C$149</f>
        <v>382.577699665446</v>
      </c>
      <c r="I152" s="625">
        <f>+H152*('I. Parametros Grales'!$C$148-1)</f>
        <v>95.6444249163615</v>
      </c>
      <c r="J152" s="625">
        <f t="shared" si="8"/>
        <v>478.222124581807</v>
      </c>
      <c r="K152" s="298">
        <f t="shared" si="9"/>
        <v>174551.07547236</v>
      </c>
      <c r="L152" s="298">
        <f t="shared" si="10"/>
        <v>5884053.80148779</v>
      </c>
      <c r="M152" s="602">
        <f t="shared" si="16"/>
        <v>6071972.02325685</v>
      </c>
      <c r="N152" s="195" t="s">
        <v>732</v>
      </c>
      <c r="O152" s="629">
        <f t="shared" si="11"/>
        <v>187918.221769057</v>
      </c>
    </row>
    <row r="153" spans="2:15">
      <c r="B153" s="209">
        <v>37</v>
      </c>
      <c r="C153" s="209">
        <v>2061</v>
      </c>
      <c r="D153" s="625">
        <f t="shared" si="6"/>
        <v>264.684574577626</v>
      </c>
      <c r="E153" s="625">
        <f t="shared" si="7"/>
        <v>96609.8697208336</v>
      </c>
      <c r="F153" s="625">
        <f>+D153/'I. Parametros Grales'!$C$144*1000</f>
        <v>529.369149155253</v>
      </c>
      <c r="G153" s="625">
        <f>+D153/'I. Parametros Grales'!$C$145*1000</f>
        <v>378.120820825181</v>
      </c>
      <c r="H153" s="625">
        <f>+G153*'I. Parametros Grales'!$C$149</f>
        <v>381.940223055738</v>
      </c>
      <c r="I153" s="625">
        <f>+H153*('I. Parametros Grales'!$C$148-1)</f>
        <v>95.4850557639345</v>
      </c>
      <c r="J153" s="625">
        <f t="shared" si="8"/>
        <v>477.425278819672</v>
      </c>
      <c r="K153" s="298">
        <f t="shared" si="9"/>
        <v>174260.22676918</v>
      </c>
      <c r="L153" s="298">
        <f t="shared" si="10"/>
        <v>6058314.02825697</v>
      </c>
      <c r="M153" s="602">
        <f t="shared" si="16"/>
        <v>6071972.02325685</v>
      </c>
      <c r="N153" s="195" t="s">
        <v>732</v>
      </c>
      <c r="O153" s="629">
        <f t="shared" si="11"/>
        <v>13657.9949998772</v>
      </c>
    </row>
    <row r="154" spans="2:15">
      <c r="B154" s="209">
        <v>38</v>
      </c>
      <c r="C154" s="209">
        <v>2062</v>
      </c>
      <c r="D154" s="625">
        <f t="shared" si="6"/>
        <v>264.176908710866</v>
      </c>
      <c r="E154" s="625">
        <f t="shared" si="7"/>
        <v>96424.5716794662</v>
      </c>
      <c r="F154" s="625">
        <f>+D154/'I. Parametros Grales'!$C$144*1000</f>
        <v>528.353817421733</v>
      </c>
      <c r="G154" s="625">
        <f>+D154/'I. Parametros Grales'!$C$145*1000</f>
        <v>377.395583872666</v>
      </c>
      <c r="H154" s="625">
        <f>+G154*'I. Parametros Grales'!$C$149</f>
        <v>381.207660477441</v>
      </c>
      <c r="I154" s="625">
        <f>+H154*('I. Parametros Grales'!$C$148-1)</f>
        <v>95.3019151193602</v>
      </c>
      <c r="J154" s="625">
        <f t="shared" si="8"/>
        <v>476.509575596801</v>
      </c>
      <c r="K154" s="298">
        <f t="shared" si="9"/>
        <v>173925.995092832</v>
      </c>
      <c r="L154" s="298">
        <f t="shared" si="10"/>
        <v>6232240.0233498</v>
      </c>
      <c r="M154" s="602">
        <f>+M153+G107</f>
        <v>6442809.65912334</v>
      </c>
      <c r="N154" s="195" t="s">
        <v>733</v>
      </c>
      <c r="O154" s="629">
        <f t="shared" si="11"/>
        <v>210569.63577354</v>
      </c>
    </row>
    <row r="155" spans="2:15">
      <c r="B155" s="209">
        <v>39</v>
      </c>
      <c r="C155" s="209">
        <v>2063</v>
      </c>
      <c r="D155" s="625">
        <f t="shared" si="6"/>
        <v>263.615473323174</v>
      </c>
      <c r="E155" s="625">
        <f t="shared" si="7"/>
        <v>96219.6477629586</v>
      </c>
      <c r="F155" s="625">
        <f>+D155/'I. Parametros Grales'!$C$144*1000</f>
        <v>527.230946646348</v>
      </c>
      <c r="G155" s="625">
        <f>+D155/'I. Parametros Grales'!$C$145*1000</f>
        <v>376.59353331882</v>
      </c>
      <c r="H155" s="625">
        <f>+G155*'I. Parametros Grales'!$C$149</f>
        <v>380.397508402849</v>
      </c>
      <c r="I155" s="625">
        <f>+H155*('I. Parametros Grales'!$C$148-1)</f>
        <v>95.0993771007122</v>
      </c>
      <c r="J155" s="625">
        <f t="shared" ref="J155" si="17">+H155+I155</f>
        <v>475.496885503561</v>
      </c>
      <c r="K155" s="298">
        <f t="shared" ref="K155" si="18">+J155*365</f>
        <v>173556.3632088</v>
      </c>
      <c r="L155" s="298">
        <f t="shared" ref="L155" si="19">K155+L154</f>
        <v>6405796.3865586</v>
      </c>
      <c r="M155" s="602">
        <f>+M154</f>
        <v>6442809.65912334</v>
      </c>
      <c r="N155" s="195" t="s">
        <v>733</v>
      </c>
      <c r="O155" s="629">
        <f t="shared" ref="O155" si="20">+M155-L155</f>
        <v>37013.2725647399</v>
      </c>
    </row>
    <row r="156" spans="2:14">
      <c r="B156" t="s">
        <v>392</v>
      </c>
      <c r="C156" s="605"/>
      <c r="D156" s="630"/>
      <c r="F156" s="630"/>
      <c r="G156" s="630"/>
      <c r="H156" s="630"/>
      <c r="I156" s="630"/>
      <c r="J156" s="255"/>
      <c r="K156" s="255"/>
      <c r="L156" s="255"/>
      <c r="N156" s="631"/>
    </row>
    <row r="157" spans="2:14">
      <c r="B157" s="605"/>
      <c r="C157" s="605"/>
      <c r="D157" s="630"/>
      <c r="E157" s="630"/>
      <c r="F157" s="630"/>
      <c r="G157" s="630"/>
      <c r="H157" s="630"/>
      <c r="I157" s="630"/>
      <c r="J157" s="255"/>
      <c r="K157" s="255"/>
      <c r="L157" s="255"/>
      <c r="N157" s="631"/>
    </row>
    <row r="169" ht="14.4" customHeight="1"/>
    <row r="170" ht="14.4" customHeight="1"/>
    <row r="171" ht="14.4" customHeight="1"/>
    <row r="172" ht="14.4" customHeight="1"/>
    <row r="173" ht="14.4" customHeight="1"/>
    <row r="174" ht="14.4" customHeight="1"/>
    <row r="175" ht="14.4" customHeight="1"/>
    <row r="176" ht="14.4" customHeight="1"/>
    <row r="177" ht="14.4" customHeight="1"/>
    <row r="178" ht="14.4" customHeight="1"/>
    <row r="179" ht="14.4" customHeight="1"/>
    <row r="180" ht="14.4" customHeight="1"/>
    <row r="181" ht="14.4" customHeight="1"/>
    <row r="182" ht="14.4" customHeight="1"/>
    <row r="183" ht="14.4" customHeight="1"/>
    <row r="184" ht="14.4" customHeight="1"/>
    <row r="185" ht="14.4" customHeight="1"/>
    <row r="186" ht="14.4" customHeight="1"/>
    <row r="187" ht="14.4" customHeight="1"/>
    <row r="188" ht="14.4" customHeight="1"/>
    <row r="189" ht="14.4" customHeight="1"/>
    <row r="190" ht="14.4" customHeight="1"/>
    <row r="191" ht="14.4" customHeight="1"/>
    <row r="192" ht="14.4" customHeight="1"/>
    <row r="193" ht="14.4" customHeight="1"/>
    <row r="194" ht="14.4" customHeight="1"/>
    <row r="195" ht="14.4" customHeight="1"/>
    <row r="196" ht="14.4" customHeight="1"/>
    <row r="197" ht="14.4" customHeight="1"/>
    <row r="198" ht="14.4" customHeight="1"/>
    <row r="199" ht="14.4" customHeight="1"/>
    <row r="200" ht="14.4" customHeight="1"/>
    <row r="201" ht="14.4" customHeight="1"/>
    <row r="202" ht="14.4" customHeight="1"/>
    <row r="203" ht="14.4" customHeight="1"/>
    <row r="204" ht="14.4" customHeight="1"/>
    <row r="205" ht="14.4" customHeight="1"/>
    <row r="206" ht="14.4" customHeight="1"/>
    <row r="207" ht="14.4" customHeight="1"/>
    <row r="208" ht="14.4" customHeight="1"/>
  </sheetData>
  <mergeCells count="14">
    <mergeCell ref="B2:P2"/>
    <mergeCell ref="B4:P4"/>
    <mergeCell ref="B96:N96"/>
    <mergeCell ref="B98:H98"/>
    <mergeCell ref="D114:K114"/>
    <mergeCell ref="D7:D8"/>
    <mergeCell ref="D52:D53"/>
    <mergeCell ref="E7:E8"/>
    <mergeCell ref="E52:E53"/>
    <mergeCell ref="F7:F8"/>
    <mergeCell ref="F52:F53"/>
    <mergeCell ref="G52:G53"/>
    <mergeCell ref="B7:C8"/>
    <mergeCell ref="B52:C53"/>
  </mergeCells>
  <pageMargins left="0.7" right="0.7" top="0.75" bottom="0.75" header="0.3" footer="0.3"/>
  <pageSetup paperSize="9" orientation="portrait"/>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sheetPr>
  <dimension ref="A2:AE103"/>
  <sheetViews>
    <sheetView zoomScale="80" zoomScaleNormal="80" topLeftCell="B1" workbookViewId="0">
      <selection activeCell="K57" sqref="K57:K96"/>
    </sheetView>
  </sheetViews>
  <sheetFormatPr defaultColWidth="11.552380952381" defaultRowHeight="12.75"/>
  <cols>
    <col min="1" max="1" width="3.33333333333333" style="80" customWidth="1"/>
    <col min="2" max="2" width="14.3333333333333" style="80" customWidth="1"/>
    <col min="3" max="3" width="13.552380952381" style="80" customWidth="1"/>
    <col min="4" max="4" width="13.3333333333333" style="80" customWidth="1"/>
    <col min="5" max="5" width="16.8857142857143" style="80" customWidth="1"/>
    <col min="6" max="6" width="17.3333333333333" style="80" customWidth="1"/>
    <col min="7" max="7" width="15.8857142857143" style="80" customWidth="1"/>
    <col min="8" max="8" width="14.1047619047619" style="80" customWidth="1"/>
    <col min="9" max="9" width="11.552380952381" style="80"/>
    <col min="10" max="10" width="13.3333333333333" style="80" customWidth="1"/>
    <col min="11" max="11" width="13.1047619047619" style="80" customWidth="1"/>
    <col min="12" max="12" width="13" style="80" customWidth="1"/>
    <col min="13" max="16384" width="11.552380952381" style="80"/>
  </cols>
  <sheetData>
    <row r="2" ht="21" customHeight="1" spans="2:17">
      <c r="B2" s="2" t="s">
        <v>0</v>
      </c>
      <c r="C2" s="2"/>
      <c r="D2" s="2"/>
      <c r="E2" s="2"/>
      <c r="F2" s="2"/>
      <c r="G2" s="2"/>
      <c r="H2" s="2"/>
      <c r="I2" s="2"/>
      <c r="J2" s="2"/>
      <c r="K2" s="2"/>
      <c r="L2" s="2"/>
      <c r="M2" s="2"/>
      <c r="N2" s="2"/>
      <c r="O2" s="2"/>
      <c r="P2" s="2"/>
      <c r="Q2" s="2"/>
    </row>
    <row r="4" s="536" customFormat="1" ht="16.5" customHeight="1" spans="2:17">
      <c r="B4" s="538" t="s">
        <v>734</v>
      </c>
      <c r="C4" s="539"/>
      <c r="D4" s="539"/>
      <c r="E4" s="539"/>
      <c r="F4" s="539"/>
      <c r="G4" s="539"/>
      <c r="H4" s="539"/>
      <c r="I4" s="539"/>
      <c r="J4" s="539"/>
      <c r="K4" s="539"/>
      <c r="L4" s="539"/>
      <c r="M4" s="539"/>
      <c r="N4" s="539"/>
      <c r="O4" s="539"/>
      <c r="P4" s="539"/>
      <c r="Q4" s="539"/>
    </row>
    <row r="6" s="537" customFormat="1" ht="15" spans="1:16">
      <c r="A6" s="80"/>
      <c r="B6" s="320" t="s">
        <v>735</v>
      </c>
      <c r="C6"/>
      <c r="D6"/>
      <c r="E6"/>
      <c r="F6"/>
      <c r="G6"/>
      <c r="H6"/>
      <c r="I6"/>
      <c r="J6"/>
      <c r="K6"/>
      <c r="L6"/>
      <c r="M6"/>
      <c r="N6"/>
      <c r="O6"/>
      <c r="P6" s="80"/>
    </row>
    <row r="7" s="537" customFormat="1" ht="39.6" customHeight="1" spans="1:16">
      <c r="A7" s="80"/>
      <c r="B7" s="540" t="s">
        <v>736</v>
      </c>
      <c r="C7" s="541"/>
      <c r="D7" s="542" t="s">
        <v>737</v>
      </c>
      <c r="E7" s="543" t="s">
        <v>738</v>
      </c>
      <c r="F7" s="544"/>
      <c r="G7" s="544"/>
      <c r="H7" s="545"/>
      <c r="I7" s="543" t="s">
        <v>739</v>
      </c>
      <c r="J7" s="545"/>
      <c r="K7" s="543" t="s">
        <v>740</v>
      </c>
      <c r="L7" s="545"/>
      <c r="M7" s="543" t="s">
        <v>741</v>
      </c>
      <c r="N7" s="544"/>
      <c r="O7" s="545"/>
      <c r="P7" s="80"/>
    </row>
    <row r="8" s="537" customFormat="1" ht="51" spans="1:16">
      <c r="A8" s="80"/>
      <c r="B8" s="546"/>
      <c r="C8" s="547"/>
      <c r="D8" s="548"/>
      <c r="E8" s="542" t="s">
        <v>742</v>
      </c>
      <c r="F8" s="542" t="s">
        <v>666</v>
      </c>
      <c r="G8" s="542" t="s">
        <v>743</v>
      </c>
      <c r="H8" s="542" t="s">
        <v>744</v>
      </c>
      <c r="I8" s="542" t="s">
        <v>745</v>
      </c>
      <c r="J8" s="542" t="s">
        <v>746</v>
      </c>
      <c r="K8" s="542" t="s">
        <v>747</v>
      </c>
      <c r="L8" s="542" t="s">
        <v>748</v>
      </c>
      <c r="M8" s="542" t="s">
        <v>749</v>
      </c>
      <c r="N8" s="542" t="s">
        <v>750</v>
      </c>
      <c r="O8" s="542" t="s">
        <v>751</v>
      </c>
      <c r="P8" s="80"/>
    </row>
    <row r="9" s="537" customFormat="1" spans="1:31">
      <c r="A9" s="80"/>
      <c r="B9" s="549">
        <v>0</v>
      </c>
      <c r="C9" s="550">
        <v>2024</v>
      </c>
      <c r="D9" s="549">
        <f>+'III. Sit. Actual O-D'!I13</f>
        <v>1034375.07896432</v>
      </c>
      <c r="E9" s="551">
        <v>0.78</v>
      </c>
      <c r="F9" s="549">
        <f>+E9*D9/1000*365</f>
        <v>294486.584981141</v>
      </c>
      <c r="G9" s="549">
        <f>F9/365</f>
        <v>806.812561592168</v>
      </c>
      <c r="H9" s="549">
        <f>+F9/312</f>
        <v>943.86725955494</v>
      </c>
      <c r="I9" s="549">
        <v>0</v>
      </c>
      <c r="J9" s="549">
        <v>0</v>
      </c>
      <c r="K9" s="549">
        <v>0</v>
      </c>
      <c r="L9" s="549">
        <v>0</v>
      </c>
      <c r="M9" s="549">
        <v>0</v>
      </c>
      <c r="N9" s="549">
        <v>0</v>
      </c>
      <c r="O9" s="549">
        <v>0</v>
      </c>
      <c r="P9" s="80"/>
      <c r="AE9" s="581"/>
    </row>
    <row r="10" s="537" customFormat="1" spans="1:31">
      <c r="A10" s="80"/>
      <c r="B10" s="549">
        <v>1</v>
      </c>
      <c r="C10" s="550">
        <v>2025</v>
      </c>
      <c r="D10" s="549">
        <f>+'III. Sit. Actual O-D'!I14</f>
        <v>1046819.52292535</v>
      </c>
      <c r="E10" s="551">
        <v>0.78</v>
      </c>
      <c r="F10" s="549">
        <f t="shared" ref="F10:F48" si="0">+E10*D10/1000*365</f>
        <v>298029.518176846</v>
      </c>
      <c r="G10" s="549">
        <f>F10/365</f>
        <v>816.51922788177</v>
      </c>
      <c r="H10" s="549">
        <f t="shared" ref="H10:H48" si="1">+F10/312</f>
        <v>955.222814669378</v>
      </c>
      <c r="I10" s="549">
        <v>0</v>
      </c>
      <c r="J10" s="549">
        <v>0</v>
      </c>
      <c r="K10" s="549">
        <v>0</v>
      </c>
      <c r="L10" s="549">
        <v>0</v>
      </c>
      <c r="M10" s="549">
        <v>0</v>
      </c>
      <c r="N10" s="549">
        <v>0</v>
      </c>
      <c r="O10" s="549">
        <v>0</v>
      </c>
      <c r="P10" s="80"/>
      <c r="AE10" s="582"/>
    </row>
    <row r="11" s="537" customFormat="1" spans="1:16">
      <c r="A11" s="80"/>
      <c r="B11" s="549">
        <v>2</v>
      </c>
      <c r="C11" s="550">
        <v>2026</v>
      </c>
      <c r="D11" s="549">
        <f>+'III. Sit. Actual O-D'!I15</f>
        <v>1058659.11181416</v>
      </c>
      <c r="E11" s="551">
        <v>0.78</v>
      </c>
      <c r="F11" s="549">
        <f t="shared" si="0"/>
        <v>301400.249133491</v>
      </c>
      <c r="G11" s="549">
        <f t="shared" ref="G11:G48" si="2">F11/365</f>
        <v>825.754107215043</v>
      </c>
      <c r="H11" s="549">
        <f t="shared" si="1"/>
        <v>966.026439530419</v>
      </c>
      <c r="I11" s="549">
        <v>6</v>
      </c>
      <c r="J11" s="549">
        <v>75</v>
      </c>
      <c r="K11" s="549">
        <v>158</v>
      </c>
      <c r="L11" s="549">
        <f t="shared" ref="L11:L48" si="3">CEILING(H11/J11,1)</f>
        <v>13</v>
      </c>
      <c r="M11" s="549">
        <v>2</v>
      </c>
      <c r="N11" s="549">
        <v>8</v>
      </c>
      <c r="O11" s="549">
        <f t="shared" ref="O11:O48" si="4">+H11/(M11*N11)</f>
        <v>60.3766524706512</v>
      </c>
      <c r="P11" s="80"/>
    </row>
    <row r="12" s="537" customFormat="1" spans="1:16">
      <c r="A12" s="80"/>
      <c r="B12" s="549">
        <v>3</v>
      </c>
      <c r="C12" s="550">
        <v>2027</v>
      </c>
      <c r="D12" s="549">
        <f>+'III. Sit. Actual O-D'!I16</f>
        <v>1069821.20053168</v>
      </c>
      <c r="E12" s="551">
        <v>0.78</v>
      </c>
      <c r="F12" s="549">
        <f t="shared" si="0"/>
        <v>304578.09579137</v>
      </c>
      <c r="G12" s="549">
        <f t="shared" si="2"/>
        <v>834.460536414712</v>
      </c>
      <c r="H12" s="549">
        <f t="shared" si="1"/>
        <v>976.21184548516</v>
      </c>
      <c r="I12" s="549">
        <v>6</v>
      </c>
      <c r="J12" s="549">
        <v>75</v>
      </c>
      <c r="K12" s="549">
        <v>159</v>
      </c>
      <c r="L12" s="549">
        <f t="shared" si="3"/>
        <v>14</v>
      </c>
      <c r="M12" s="549">
        <v>2</v>
      </c>
      <c r="N12" s="549">
        <v>8</v>
      </c>
      <c r="O12" s="549">
        <f t="shared" si="4"/>
        <v>61.0132403428225</v>
      </c>
      <c r="P12" s="80"/>
    </row>
    <row r="13" s="537" customFormat="1" spans="1:16">
      <c r="A13" s="80"/>
      <c r="B13" s="549">
        <v>4</v>
      </c>
      <c r="C13" s="550">
        <v>2028</v>
      </c>
      <c r="D13" s="549">
        <f>+'III. Sit. Actual O-D'!I17</f>
        <v>1080298.49853034</v>
      </c>
      <c r="E13" s="551">
        <v>0.78</v>
      </c>
      <c r="F13" s="549">
        <f t="shared" si="0"/>
        <v>307560.982531588</v>
      </c>
      <c r="G13" s="549">
        <f t="shared" si="2"/>
        <v>842.632828853664</v>
      </c>
      <c r="H13" s="549">
        <f t="shared" si="1"/>
        <v>985.772379908934</v>
      </c>
      <c r="I13" s="549">
        <v>6</v>
      </c>
      <c r="J13" s="549">
        <v>75</v>
      </c>
      <c r="K13" s="549">
        <v>160</v>
      </c>
      <c r="L13" s="549">
        <f t="shared" si="3"/>
        <v>14</v>
      </c>
      <c r="M13" s="549">
        <v>2</v>
      </c>
      <c r="N13" s="549">
        <v>8</v>
      </c>
      <c r="O13" s="549">
        <f t="shared" si="4"/>
        <v>61.6107737443084</v>
      </c>
      <c r="P13" s="80"/>
    </row>
    <row r="14" s="537" customFormat="1" spans="1:16">
      <c r="A14" s="80"/>
      <c r="B14" s="549">
        <v>5</v>
      </c>
      <c r="C14" s="550">
        <v>2029</v>
      </c>
      <c r="D14" s="549">
        <f>+'III. Sit. Actual O-D'!I18</f>
        <v>1090145.94529366</v>
      </c>
      <c r="E14" s="551">
        <v>0.78</v>
      </c>
      <c r="F14" s="549">
        <f t="shared" si="0"/>
        <v>310364.550625105</v>
      </c>
      <c r="G14" s="549">
        <f t="shared" si="2"/>
        <v>850.313837329054</v>
      </c>
      <c r="H14" s="549">
        <f t="shared" si="1"/>
        <v>994.758175080463</v>
      </c>
      <c r="I14" s="549">
        <v>6</v>
      </c>
      <c r="J14" s="549">
        <v>75</v>
      </c>
      <c r="K14" s="549">
        <v>161</v>
      </c>
      <c r="L14" s="549">
        <f t="shared" si="3"/>
        <v>14</v>
      </c>
      <c r="M14" s="549">
        <v>2</v>
      </c>
      <c r="N14" s="549">
        <v>8</v>
      </c>
      <c r="O14" s="549">
        <f t="shared" si="4"/>
        <v>62.1723859425289</v>
      </c>
      <c r="P14" s="80"/>
    </row>
    <row r="15" s="537" customFormat="1" spans="1:16">
      <c r="A15" s="80"/>
      <c r="B15" s="549">
        <v>6</v>
      </c>
      <c r="C15" s="550">
        <v>2030</v>
      </c>
      <c r="D15" s="549">
        <f>+'III. Sit. Actual O-D'!I19</f>
        <v>1099461.70283723</v>
      </c>
      <c r="E15" s="551">
        <v>0.78</v>
      </c>
      <c r="F15" s="549">
        <f t="shared" si="0"/>
        <v>313016.746797761</v>
      </c>
      <c r="G15" s="549">
        <f t="shared" si="2"/>
        <v>857.580128213043</v>
      </c>
      <c r="H15" s="549">
        <f t="shared" si="1"/>
        <v>1003.25880383898</v>
      </c>
      <c r="I15" s="549">
        <v>6</v>
      </c>
      <c r="J15" s="549">
        <v>75</v>
      </c>
      <c r="K15" s="549">
        <v>162</v>
      </c>
      <c r="L15" s="549">
        <f t="shared" si="3"/>
        <v>14</v>
      </c>
      <c r="M15" s="549">
        <v>2</v>
      </c>
      <c r="N15" s="549">
        <v>8</v>
      </c>
      <c r="O15" s="549">
        <f t="shared" si="4"/>
        <v>62.703675239936</v>
      </c>
      <c r="P15" s="80"/>
    </row>
    <row r="16" s="537" customFormat="1" spans="1:16">
      <c r="A16" s="80"/>
      <c r="B16" s="549">
        <v>7</v>
      </c>
      <c r="C16" s="550">
        <v>2031</v>
      </c>
      <c r="D16" s="549">
        <f>+'III. Sit. Actual O-D'!I20</f>
        <v>1108348.88033395</v>
      </c>
      <c r="E16" s="551">
        <v>0.78</v>
      </c>
      <c r="F16" s="549">
        <f t="shared" si="0"/>
        <v>315546.926231074</v>
      </c>
      <c r="G16" s="549">
        <f t="shared" si="2"/>
        <v>864.512126660478</v>
      </c>
      <c r="H16" s="549">
        <f t="shared" si="1"/>
        <v>1011.36835330473</v>
      </c>
      <c r="I16" s="549">
        <v>6</v>
      </c>
      <c r="J16" s="549">
        <v>75</v>
      </c>
      <c r="K16" s="549">
        <v>163</v>
      </c>
      <c r="L16" s="549">
        <f t="shared" si="3"/>
        <v>14</v>
      </c>
      <c r="M16" s="549">
        <v>2</v>
      </c>
      <c r="N16" s="549">
        <v>8</v>
      </c>
      <c r="O16" s="549">
        <f t="shared" si="4"/>
        <v>63.2105220815454</v>
      </c>
      <c r="P16" s="80"/>
    </row>
    <row r="17" s="537" customFormat="1" spans="1:16">
      <c r="A17" s="80"/>
      <c r="B17" s="549">
        <v>8</v>
      </c>
      <c r="C17" s="550">
        <v>2032</v>
      </c>
      <c r="D17" s="549">
        <f>+'III. Sit. Actual O-D'!I21</f>
        <v>1116900.1718887</v>
      </c>
      <c r="E17" s="551">
        <v>0.78</v>
      </c>
      <c r="F17" s="549">
        <f t="shared" si="0"/>
        <v>317981.478936714</v>
      </c>
      <c r="G17" s="549">
        <f t="shared" si="2"/>
        <v>871.182134073189</v>
      </c>
      <c r="H17" s="549">
        <f t="shared" si="1"/>
        <v>1019.17140684844</v>
      </c>
      <c r="I17" s="549">
        <v>6</v>
      </c>
      <c r="J17" s="549">
        <v>75</v>
      </c>
      <c r="K17" s="549">
        <v>164</v>
      </c>
      <c r="L17" s="549">
        <f t="shared" si="3"/>
        <v>14</v>
      </c>
      <c r="M17" s="549">
        <v>2</v>
      </c>
      <c r="N17" s="549">
        <v>8</v>
      </c>
      <c r="O17" s="549">
        <f t="shared" si="4"/>
        <v>63.6982129280276</v>
      </c>
      <c r="P17" s="80"/>
    </row>
    <row r="18" s="537" customFormat="1" spans="1:16">
      <c r="A18" s="80"/>
      <c r="B18" s="549">
        <v>9</v>
      </c>
      <c r="C18" s="550">
        <v>2033</v>
      </c>
      <c r="D18" s="549">
        <f>+'III. Sit. Actual O-D'!I22</f>
        <v>1125200.19992874</v>
      </c>
      <c r="E18" s="551">
        <v>0.78</v>
      </c>
      <c r="F18" s="549">
        <f t="shared" si="0"/>
        <v>320344.496919713</v>
      </c>
      <c r="G18" s="549">
        <f t="shared" si="2"/>
        <v>877.65615594442</v>
      </c>
      <c r="H18" s="549">
        <f t="shared" si="1"/>
        <v>1026.74518243498</v>
      </c>
      <c r="I18" s="549">
        <v>6</v>
      </c>
      <c r="J18" s="549">
        <v>75</v>
      </c>
      <c r="K18" s="549">
        <v>165</v>
      </c>
      <c r="L18" s="549">
        <f t="shared" si="3"/>
        <v>14</v>
      </c>
      <c r="M18" s="549">
        <v>2</v>
      </c>
      <c r="N18" s="549">
        <v>8</v>
      </c>
      <c r="O18" s="549">
        <f t="shared" si="4"/>
        <v>64.1715739021862</v>
      </c>
      <c r="P18" s="80"/>
    </row>
    <row r="19" s="537" customFormat="1" spans="1:16">
      <c r="A19" s="80"/>
      <c r="B19" s="549">
        <v>10</v>
      </c>
      <c r="C19" s="550">
        <v>2034</v>
      </c>
      <c r="D19" s="549">
        <f>+'III. Sit. Actual O-D'!I23</f>
        <v>1133327.59821722</v>
      </c>
      <c r="E19" s="551">
        <v>0.78</v>
      </c>
      <c r="F19" s="549">
        <f t="shared" si="0"/>
        <v>322658.367212443</v>
      </c>
      <c r="G19" s="549">
        <f t="shared" si="2"/>
        <v>883.995526609433</v>
      </c>
      <c r="H19" s="549">
        <f t="shared" si="1"/>
        <v>1034.16143337322</v>
      </c>
      <c r="I19" s="549">
        <v>6</v>
      </c>
      <c r="J19" s="549">
        <v>75</v>
      </c>
      <c r="K19" s="549">
        <v>166</v>
      </c>
      <c r="L19" s="549">
        <f t="shared" si="3"/>
        <v>14</v>
      </c>
      <c r="M19" s="549">
        <v>2</v>
      </c>
      <c r="N19" s="549">
        <v>8</v>
      </c>
      <c r="O19" s="549">
        <f t="shared" si="4"/>
        <v>64.635089585826</v>
      </c>
      <c r="P19" s="80"/>
    </row>
    <row r="20" s="537" customFormat="1" spans="1:16">
      <c r="A20" s="80"/>
      <c r="B20" s="549">
        <v>11</v>
      </c>
      <c r="C20" s="550">
        <v>2035</v>
      </c>
      <c r="D20" s="549">
        <f>+'III. Sit. Actual O-D'!I24</f>
        <v>1141309.96668425</v>
      </c>
      <c r="E20" s="551">
        <v>0.78</v>
      </c>
      <c r="F20" s="549">
        <f t="shared" si="0"/>
        <v>324930.947515007</v>
      </c>
      <c r="G20" s="549">
        <f t="shared" si="2"/>
        <v>890.221774013717</v>
      </c>
      <c r="H20" s="549">
        <f t="shared" si="1"/>
        <v>1041.44534459938</v>
      </c>
      <c r="I20" s="549">
        <v>6</v>
      </c>
      <c r="J20" s="549">
        <v>75</v>
      </c>
      <c r="K20" s="549">
        <v>166</v>
      </c>
      <c r="L20" s="549">
        <f t="shared" si="3"/>
        <v>14</v>
      </c>
      <c r="M20" s="549">
        <v>2</v>
      </c>
      <c r="N20" s="549">
        <v>8</v>
      </c>
      <c r="O20" s="549">
        <f t="shared" si="4"/>
        <v>65.0903340374613</v>
      </c>
      <c r="P20" s="80"/>
    </row>
    <row r="21" s="537" customFormat="1" spans="1:16">
      <c r="A21" s="80"/>
      <c r="B21" s="549">
        <v>12</v>
      </c>
      <c r="C21" s="550">
        <v>2036</v>
      </c>
      <c r="D21" s="549">
        <f>+'III. Sit. Actual O-D'!I25</f>
        <v>1149162.14680169</v>
      </c>
      <c r="E21" s="551">
        <v>0.78</v>
      </c>
      <c r="F21" s="549">
        <f t="shared" si="0"/>
        <v>327166.463194441</v>
      </c>
      <c r="G21" s="549">
        <f t="shared" si="2"/>
        <v>896.346474505317</v>
      </c>
      <c r="H21" s="549">
        <f t="shared" si="1"/>
        <v>1048.61045895654</v>
      </c>
      <c r="I21" s="549">
        <v>6</v>
      </c>
      <c r="J21" s="549">
        <v>75</v>
      </c>
      <c r="K21" s="549">
        <v>167</v>
      </c>
      <c r="L21" s="549">
        <f t="shared" si="3"/>
        <v>14</v>
      </c>
      <c r="M21" s="549">
        <v>2</v>
      </c>
      <c r="N21" s="549">
        <v>8</v>
      </c>
      <c r="O21" s="549">
        <f t="shared" si="4"/>
        <v>65.5381536847838</v>
      </c>
      <c r="P21" s="80"/>
    </row>
    <row r="22" s="537" customFormat="1" spans="1:16">
      <c r="A22" s="80"/>
      <c r="B22" s="549">
        <v>13</v>
      </c>
      <c r="C22" s="550">
        <v>2037</v>
      </c>
      <c r="D22" s="549">
        <f>+'III. Sit. Actual O-D'!I26</f>
        <v>1156847.94620834</v>
      </c>
      <c r="E22" s="551">
        <v>0.78</v>
      </c>
      <c r="F22" s="549">
        <f t="shared" si="0"/>
        <v>329354.610285515</v>
      </c>
      <c r="G22" s="549">
        <f t="shared" si="2"/>
        <v>902.341398042507</v>
      </c>
      <c r="H22" s="549">
        <f t="shared" si="1"/>
        <v>1055.62375091511</v>
      </c>
      <c r="I22" s="549">
        <v>6</v>
      </c>
      <c r="J22" s="549">
        <v>75</v>
      </c>
      <c r="K22" s="549">
        <v>168</v>
      </c>
      <c r="L22" s="549">
        <f t="shared" si="3"/>
        <v>15</v>
      </c>
      <c r="M22" s="549">
        <v>2</v>
      </c>
      <c r="N22" s="549">
        <v>8</v>
      </c>
      <c r="O22" s="549">
        <f t="shared" si="4"/>
        <v>65.9764844321945</v>
      </c>
      <c r="P22" s="80"/>
    </row>
    <row r="23" s="537" customFormat="1" spans="1:16">
      <c r="A23" s="80"/>
      <c r="B23" s="549">
        <v>14</v>
      </c>
      <c r="C23" s="550">
        <v>2038</v>
      </c>
      <c r="D23" s="549">
        <f>+'III. Sit. Actual O-D'!I27</f>
        <v>1164281.18021678</v>
      </c>
      <c r="E23" s="551">
        <v>0.78</v>
      </c>
      <c r="F23" s="549">
        <f t="shared" si="0"/>
        <v>331470.852007718</v>
      </c>
      <c r="G23" s="549">
        <f t="shared" si="2"/>
        <v>908.139320569091</v>
      </c>
      <c r="H23" s="549">
        <f t="shared" si="1"/>
        <v>1062.40657694782</v>
      </c>
      <c r="I23" s="549">
        <v>6</v>
      </c>
      <c r="J23" s="549">
        <v>75</v>
      </c>
      <c r="K23" s="549">
        <v>168</v>
      </c>
      <c r="L23" s="549">
        <f t="shared" si="3"/>
        <v>15</v>
      </c>
      <c r="M23" s="549">
        <v>2</v>
      </c>
      <c r="N23" s="549">
        <v>8</v>
      </c>
      <c r="O23" s="549">
        <f t="shared" si="4"/>
        <v>66.4004110592385</v>
      </c>
      <c r="P23" s="80"/>
    </row>
    <row r="24" s="537" customFormat="1" spans="1:16">
      <c r="A24" s="80"/>
      <c r="B24" s="549">
        <v>15</v>
      </c>
      <c r="C24" s="550">
        <v>2039</v>
      </c>
      <c r="D24" s="549">
        <f>+'III. Sit. Actual O-D'!I28</f>
        <v>1171349.62646966</v>
      </c>
      <c r="E24" s="551">
        <v>0.78</v>
      </c>
      <c r="F24" s="549">
        <f t="shared" si="0"/>
        <v>333483.238655913</v>
      </c>
      <c r="G24" s="549">
        <f t="shared" si="2"/>
        <v>913.652708646336</v>
      </c>
      <c r="H24" s="549">
        <f t="shared" si="1"/>
        <v>1068.85653415357</v>
      </c>
      <c r="I24" s="549">
        <v>6</v>
      </c>
      <c r="J24" s="549">
        <v>75</v>
      </c>
      <c r="K24" s="549">
        <v>169</v>
      </c>
      <c r="L24" s="549">
        <f t="shared" si="3"/>
        <v>15</v>
      </c>
      <c r="M24" s="549">
        <v>2</v>
      </c>
      <c r="N24" s="549">
        <v>8</v>
      </c>
      <c r="O24" s="549">
        <f t="shared" si="4"/>
        <v>66.8035333845979</v>
      </c>
      <c r="P24" s="80"/>
    </row>
    <row r="25" s="537" customFormat="1" spans="1:16">
      <c r="A25" s="80"/>
      <c r="B25" s="549">
        <v>16</v>
      </c>
      <c r="C25" s="550">
        <v>2040</v>
      </c>
      <c r="D25" s="549">
        <f>+'III. Sit. Actual O-D'!I29</f>
        <v>1177940.28147953</v>
      </c>
      <c r="E25" s="551">
        <v>0.78</v>
      </c>
      <c r="F25" s="549">
        <f t="shared" si="0"/>
        <v>335359.598137221</v>
      </c>
      <c r="G25" s="549">
        <f t="shared" si="2"/>
        <v>918.793419554031</v>
      </c>
      <c r="H25" s="549">
        <f t="shared" si="1"/>
        <v>1074.87050685007</v>
      </c>
      <c r="I25" s="549">
        <v>6</v>
      </c>
      <c r="J25" s="549">
        <v>75</v>
      </c>
      <c r="K25" s="549">
        <v>169</v>
      </c>
      <c r="L25" s="549">
        <f t="shared" si="3"/>
        <v>15</v>
      </c>
      <c r="M25" s="549">
        <v>2</v>
      </c>
      <c r="N25" s="549">
        <v>8</v>
      </c>
      <c r="O25" s="549">
        <f t="shared" si="4"/>
        <v>67.1794066781293</v>
      </c>
      <c r="P25" s="80"/>
    </row>
    <row r="26" s="537" customFormat="1" spans="1:16">
      <c r="A26" s="80"/>
      <c r="B26" s="549">
        <v>17</v>
      </c>
      <c r="C26" s="550">
        <v>2041</v>
      </c>
      <c r="D26" s="549">
        <f>+'III. Sit. Actual O-D'!I30</f>
        <v>1183955.50398419</v>
      </c>
      <c r="E26" s="551">
        <v>0.78</v>
      </c>
      <c r="F26" s="549">
        <f t="shared" si="0"/>
        <v>337072.131984298</v>
      </c>
      <c r="G26" s="549">
        <f t="shared" si="2"/>
        <v>923.485293107665</v>
      </c>
      <c r="H26" s="549">
        <f t="shared" si="1"/>
        <v>1080.35939738557</v>
      </c>
      <c r="I26" s="549">
        <v>6</v>
      </c>
      <c r="J26" s="549">
        <v>75</v>
      </c>
      <c r="K26" s="549">
        <v>170</v>
      </c>
      <c r="L26" s="549">
        <f t="shared" si="3"/>
        <v>15</v>
      </c>
      <c r="M26" s="549">
        <v>2</v>
      </c>
      <c r="N26" s="549">
        <v>8</v>
      </c>
      <c r="O26" s="549">
        <f t="shared" si="4"/>
        <v>67.5224623365981</v>
      </c>
      <c r="P26" s="80"/>
    </row>
    <row r="27" s="537" customFormat="1" spans="1:16">
      <c r="A27" s="80"/>
      <c r="B27" s="549">
        <v>18</v>
      </c>
      <c r="C27" s="550">
        <v>2042</v>
      </c>
      <c r="D27" s="549">
        <f>+'III. Sit. Actual O-D'!I31</f>
        <v>1189364.04877974</v>
      </c>
      <c r="E27" s="551">
        <v>0.78</v>
      </c>
      <c r="F27" s="549">
        <f t="shared" si="0"/>
        <v>338611.944687591</v>
      </c>
      <c r="G27" s="549">
        <f t="shared" si="2"/>
        <v>927.703958048194</v>
      </c>
      <c r="H27" s="549">
        <f t="shared" si="1"/>
        <v>1085.29469451151</v>
      </c>
      <c r="I27" s="549">
        <v>6</v>
      </c>
      <c r="J27" s="549">
        <v>75</v>
      </c>
      <c r="K27" s="549">
        <v>170</v>
      </c>
      <c r="L27" s="549">
        <f t="shared" si="3"/>
        <v>15</v>
      </c>
      <c r="M27" s="549">
        <v>2</v>
      </c>
      <c r="N27" s="549">
        <v>8</v>
      </c>
      <c r="O27" s="549">
        <f t="shared" si="4"/>
        <v>67.8309184069693</v>
      </c>
      <c r="P27" s="80"/>
    </row>
    <row r="28" s="537" customFormat="1" spans="1:16">
      <c r="A28" s="80"/>
      <c r="B28" s="549">
        <v>19</v>
      </c>
      <c r="C28" s="550">
        <v>2043</v>
      </c>
      <c r="D28" s="549">
        <f>+'III. Sit. Actual O-D'!I32</f>
        <v>1194163.57247588</v>
      </c>
      <c r="E28" s="551">
        <v>0.78</v>
      </c>
      <c r="F28" s="549">
        <f t="shared" si="0"/>
        <v>339978.369083884</v>
      </c>
      <c r="G28" s="549">
        <f t="shared" si="2"/>
        <v>931.447586531188</v>
      </c>
      <c r="H28" s="549">
        <f t="shared" si="1"/>
        <v>1089.67425988424</v>
      </c>
      <c r="I28" s="549">
        <v>6</v>
      </c>
      <c r="J28" s="549">
        <v>75</v>
      </c>
      <c r="K28" s="549">
        <v>170</v>
      </c>
      <c r="L28" s="549">
        <f t="shared" si="3"/>
        <v>15</v>
      </c>
      <c r="M28" s="549">
        <v>2</v>
      </c>
      <c r="N28" s="549">
        <v>8</v>
      </c>
      <c r="O28" s="549">
        <f t="shared" si="4"/>
        <v>68.1046412427652</v>
      </c>
      <c r="P28" s="80"/>
    </row>
    <row r="29" s="537" customFormat="1" spans="1:16">
      <c r="A29" s="80"/>
      <c r="B29" s="549">
        <v>20</v>
      </c>
      <c r="C29" s="550">
        <v>2044</v>
      </c>
      <c r="D29" s="549">
        <f>+'III. Sit. Actual O-D'!I33</f>
        <v>1198408.49380276</v>
      </c>
      <c r="E29" s="551">
        <v>0.78</v>
      </c>
      <c r="F29" s="549">
        <f t="shared" si="0"/>
        <v>341186.898185645</v>
      </c>
      <c r="G29" s="549">
        <f t="shared" si="2"/>
        <v>934.75862516615</v>
      </c>
      <c r="H29" s="549">
        <f t="shared" si="1"/>
        <v>1093.54775059502</v>
      </c>
      <c r="I29" s="549">
        <v>6</v>
      </c>
      <c r="J29" s="549">
        <v>75</v>
      </c>
      <c r="K29" s="549">
        <v>170</v>
      </c>
      <c r="L29" s="549">
        <f t="shared" si="3"/>
        <v>15</v>
      </c>
      <c r="M29" s="549">
        <v>2</v>
      </c>
      <c r="N29" s="549">
        <v>8</v>
      </c>
      <c r="O29" s="549">
        <f t="shared" si="4"/>
        <v>68.3467344121885</v>
      </c>
      <c r="P29" s="80"/>
    </row>
    <row r="30" s="537" customFormat="1" spans="1:16">
      <c r="A30" s="80"/>
      <c r="B30" s="549">
        <v>21</v>
      </c>
      <c r="C30" s="550">
        <v>2045</v>
      </c>
      <c r="D30" s="549">
        <f>+'III. Sit. Actual O-D'!I34</f>
        <v>1202147.50320311</v>
      </c>
      <c r="E30" s="551">
        <v>0.78</v>
      </c>
      <c r="F30" s="549">
        <f t="shared" si="0"/>
        <v>342251.394161925</v>
      </c>
      <c r="G30" s="549">
        <f t="shared" si="2"/>
        <v>937.675052498424</v>
      </c>
      <c r="H30" s="549">
        <f t="shared" si="1"/>
        <v>1096.95959667284</v>
      </c>
      <c r="I30" s="549">
        <v>6</v>
      </c>
      <c r="J30" s="549">
        <v>75</v>
      </c>
      <c r="K30" s="549">
        <v>170</v>
      </c>
      <c r="L30" s="549">
        <f t="shared" si="3"/>
        <v>15</v>
      </c>
      <c r="M30" s="549">
        <v>2</v>
      </c>
      <c r="N30" s="549">
        <v>8</v>
      </c>
      <c r="O30" s="549">
        <f t="shared" si="4"/>
        <v>68.5599747920522</v>
      </c>
      <c r="P30" s="80"/>
    </row>
    <row r="31" s="537" customFormat="1" spans="1:16">
      <c r="A31" s="80"/>
      <c r="B31" s="549">
        <v>22</v>
      </c>
      <c r="C31" s="550">
        <v>2046</v>
      </c>
      <c r="D31" s="549">
        <f>+'III. Sit. Actual O-D'!I35</f>
        <v>1205454.02690611</v>
      </c>
      <c r="E31" s="551">
        <v>0.78</v>
      </c>
      <c r="F31" s="549">
        <f t="shared" si="0"/>
        <v>343192.761460168</v>
      </c>
      <c r="G31" s="549">
        <f t="shared" si="2"/>
        <v>940.254140986762</v>
      </c>
      <c r="H31" s="549">
        <f t="shared" si="1"/>
        <v>1099.97679955182</v>
      </c>
      <c r="I31" s="549">
        <v>6</v>
      </c>
      <c r="J31" s="549">
        <v>75</v>
      </c>
      <c r="K31" s="549">
        <v>170</v>
      </c>
      <c r="L31" s="549">
        <f t="shared" si="3"/>
        <v>15</v>
      </c>
      <c r="M31" s="549">
        <v>2</v>
      </c>
      <c r="N31" s="549">
        <v>8</v>
      </c>
      <c r="O31" s="549">
        <f t="shared" si="4"/>
        <v>68.7485499719888</v>
      </c>
      <c r="P31" s="80"/>
    </row>
    <row r="32" spans="2:15">
      <c r="B32" s="549">
        <v>23</v>
      </c>
      <c r="C32" s="550">
        <v>2047</v>
      </c>
      <c r="D32" s="549">
        <f>+'III. Sit. Actual O-D'!I36</f>
        <v>1208400.18925743</v>
      </c>
      <c r="E32" s="551">
        <v>0.78</v>
      </c>
      <c r="F32" s="549">
        <f t="shared" si="0"/>
        <v>344031.533881589</v>
      </c>
      <c r="G32" s="549">
        <f t="shared" si="2"/>
        <v>942.552147620793</v>
      </c>
      <c r="H32" s="549">
        <f t="shared" si="1"/>
        <v>1102.6651726974</v>
      </c>
      <c r="I32" s="549">
        <v>6</v>
      </c>
      <c r="J32" s="549">
        <v>75</v>
      </c>
      <c r="K32" s="549">
        <v>170</v>
      </c>
      <c r="L32" s="549">
        <f t="shared" si="3"/>
        <v>15</v>
      </c>
      <c r="M32" s="549">
        <v>2</v>
      </c>
      <c r="N32" s="549">
        <v>8</v>
      </c>
      <c r="O32" s="549">
        <f t="shared" si="4"/>
        <v>68.9165732935876</v>
      </c>
    </row>
    <row r="33" spans="2:15">
      <c r="B33" s="549">
        <v>24</v>
      </c>
      <c r="C33" s="550">
        <v>2048</v>
      </c>
      <c r="D33" s="549">
        <f>+'III. Sit. Actual O-D'!I37</f>
        <v>1211051.34480857</v>
      </c>
      <c r="E33" s="551">
        <v>0.78</v>
      </c>
      <c r="F33" s="549">
        <f t="shared" si="0"/>
        <v>344786.317866999</v>
      </c>
      <c r="G33" s="549">
        <f t="shared" si="2"/>
        <v>944.620048950682</v>
      </c>
      <c r="H33" s="549">
        <f t="shared" si="1"/>
        <v>1105.08435213782</v>
      </c>
      <c r="I33" s="549">
        <v>6</v>
      </c>
      <c r="J33" s="549">
        <v>75</v>
      </c>
      <c r="K33" s="549">
        <v>170</v>
      </c>
      <c r="L33" s="549">
        <f t="shared" si="3"/>
        <v>15</v>
      </c>
      <c r="M33" s="549">
        <v>2</v>
      </c>
      <c r="N33" s="549">
        <v>8</v>
      </c>
      <c r="O33" s="549">
        <f t="shared" si="4"/>
        <v>69.0677720086136</v>
      </c>
    </row>
    <row r="34" spans="2:15">
      <c r="B34" s="549">
        <v>25</v>
      </c>
      <c r="C34" s="550">
        <v>2049</v>
      </c>
      <c r="D34" s="549">
        <f>+'III. Sit. Actual O-D'!I38</f>
        <v>1213453.31985858</v>
      </c>
      <c r="E34" s="551">
        <v>0.78</v>
      </c>
      <c r="F34" s="549">
        <f t="shared" si="0"/>
        <v>345470.160163739</v>
      </c>
      <c r="G34" s="549">
        <f t="shared" si="2"/>
        <v>946.493589489695</v>
      </c>
      <c r="H34" s="549">
        <f t="shared" si="1"/>
        <v>1107.27615437096</v>
      </c>
      <c r="I34" s="549">
        <v>6</v>
      </c>
      <c r="J34" s="549">
        <v>75</v>
      </c>
      <c r="K34" s="549">
        <v>170</v>
      </c>
      <c r="L34" s="549">
        <f t="shared" si="3"/>
        <v>15</v>
      </c>
      <c r="M34" s="549">
        <v>2</v>
      </c>
      <c r="N34" s="549">
        <v>8</v>
      </c>
      <c r="O34" s="549">
        <f t="shared" si="4"/>
        <v>69.2047596481848</v>
      </c>
    </row>
    <row r="35" spans="2:15">
      <c r="B35" s="549">
        <v>26</v>
      </c>
      <c r="C35" s="550">
        <v>2050</v>
      </c>
      <c r="D35" s="549">
        <f>+'III. Sit. Actual O-D'!I39</f>
        <v>1215634.75584439</v>
      </c>
      <c r="E35" s="551">
        <v>0.78</v>
      </c>
      <c r="F35" s="549">
        <f t="shared" si="0"/>
        <v>346091.214988897</v>
      </c>
      <c r="G35" s="549">
        <f t="shared" si="2"/>
        <v>948.195109558622</v>
      </c>
      <c r="H35" s="549">
        <f t="shared" si="1"/>
        <v>1109.266714708</v>
      </c>
      <c r="I35" s="549">
        <v>6</v>
      </c>
      <c r="J35" s="549">
        <v>75</v>
      </c>
      <c r="K35" s="549">
        <v>170</v>
      </c>
      <c r="L35" s="549">
        <f t="shared" si="3"/>
        <v>15</v>
      </c>
      <c r="M35" s="549">
        <v>2</v>
      </c>
      <c r="N35" s="549">
        <v>8</v>
      </c>
      <c r="O35" s="549">
        <f t="shared" si="4"/>
        <v>69.3291696692502</v>
      </c>
    </row>
    <row r="36" spans="2:15">
      <c r="B36" s="549">
        <v>27</v>
      </c>
      <c r="C36" s="550">
        <v>2051</v>
      </c>
      <c r="D36" s="549">
        <f>+'III. Sit. Actual O-D'!I40</f>
        <v>1217593.04899899</v>
      </c>
      <c r="E36" s="551">
        <v>0.78</v>
      </c>
      <c r="F36" s="549">
        <f t="shared" si="0"/>
        <v>346648.741050011</v>
      </c>
      <c r="G36" s="549">
        <f t="shared" si="2"/>
        <v>949.722578219209</v>
      </c>
      <c r="H36" s="549">
        <f t="shared" si="1"/>
        <v>1111.05365721157</v>
      </c>
      <c r="I36" s="549">
        <v>6</v>
      </c>
      <c r="J36" s="549">
        <v>75</v>
      </c>
      <c r="K36" s="549">
        <v>170</v>
      </c>
      <c r="L36" s="549">
        <f t="shared" si="3"/>
        <v>15</v>
      </c>
      <c r="M36" s="549">
        <v>2</v>
      </c>
      <c r="N36" s="549">
        <v>8</v>
      </c>
      <c r="O36" s="549">
        <f t="shared" si="4"/>
        <v>69.4408535757234</v>
      </c>
    </row>
    <row r="37" spans="2:15">
      <c r="B37" s="549">
        <v>28</v>
      </c>
      <c r="C37" s="550">
        <v>2052</v>
      </c>
      <c r="D37" s="549">
        <f>+'III. Sit. Actual O-D'!I41</f>
        <v>1219308.41069324</v>
      </c>
      <c r="E37" s="551">
        <v>0.78</v>
      </c>
      <c r="F37" s="549">
        <f t="shared" si="0"/>
        <v>347137.104524366</v>
      </c>
      <c r="G37" s="549">
        <f t="shared" si="2"/>
        <v>951.060560340728</v>
      </c>
      <c r="H37" s="549">
        <f t="shared" si="1"/>
        <v>1112.61892475758</v>
      </c>
      <c r="I37" s="549">
        <v>6</v>
      </c>
      <c r="J37" s="549">
        <v>75</v>
      </c>
      <c r="K37" s="549">
        <v>170</v>
      </c>
      <c r="L37" s="549">
        <f t="shared" si="3"/>
        <v>15</v>
      </c>
      <c r="M37" s="549">
        <v>2</v>
      </c>
      <c r="N37" s="549">
        <v>8</v>
      </c>
      <c r="O37" s="549">
        <f t="shared" si="4"/>
        <v>69.5386827973489</v>
      </c>
    </row>
    <row r="38" spans="2:15">
      <c r="B38" s="549">
        <v>29</v>
      </c>
      <c r="C38" s="550">
        <v>2053</v>
      </c>
      <c r="D38" s="549">
        <f>+'III. Sit. Actual O-D'!I42</f>
        <v>1220725.64106693</v>
      </c>
      <c r="E38" s="551">
        <v>0.78</v>
      </c>
      <c r="F38" s="549">
        <f t="shared" si="0"/>
        <v>347540.590011754</v>
      </c>
      <c r="G38" s="549">
        <f t="shared" si="2"/>
        <v>952.166000032202</v>
      </c>
      <c r="H38" s="549">
        <f t="shared" si="1"/>
        <v>1113.91214747357</v>
      </c>
      <c r="I38" s="549">
        <v>6</v>
      </c>
      <c r="J38" s="549">
        <v>75</v>
      </c>
      <c r="K38" s="549">
        <v>170</v>
      </c>
      <c r="L38" s="549">
        <f t="shared" si="3"/>
        <v>15</v>
      </c>
      <c r="M38" s="549">
        <v>2</v>
      </c>
      <c r="N38" s="549">
        <v>8</v>
      </c>
      <c r="O38" s="549">
        <f t="shared" si="4"/>
        <v>69.6195092170981</v>
      </c>
    </row>
    <row r="39" spans="2:15">
      <c r="B39" s="549">
        <v>30</v>
      </c>
      <c r="C39" s="550">
        <v>2054</v>
      </c>
      <c r="D39" s="549">
        <f>+'III. Sit. Actual O-D'!I43</f>
        <v>1221773.13652776</v>
      </c>
      <c r="E39" s="551">
        <v>0.78</v>
      </c>
      <c r="F39" s="549">
        <f t="shared" si="0"/>
        <v>347838.811969454</v>
      </c>
      <c r="G39" s="549">
        <f t="shared" si="2"/>
        <v>952.983046491655</v>
      </c>
      <c r="H39" s="549">
        <f t="shared" si="1"/>
        <v>1114.86798708158</v>
      </c>
      <c r="I39" s="549">
        <v>6</v>
      </c>
      <c r="J39" s="549">
        <v>75</v>
      </c>
      <c r="K39" s="549">
        <v>170</v>
      </c>
      <c r="L39" s="549">
        <f t="shared" si="3"/>
        <v>15</v>
      </c>
      <c r="M39" s="549">
        <v>2</v>
      </c>
      <c r="N39" s="549">
        <v>8</v>
      </c>
      <c r="O39" s="549">
        <f t="shared" si="4"/>
        <v>69.679249192599</v>
      </c>
    </row>
    <row r="40" spans="2:15">
      <c r="B40" s="549">
        <v>31</v>
      </c>
      <c r="C40" s="550">
        <v>2055</v>
      </c>
      <c r="D40" s="549">
        <f>+'III. Sit. Actual O-D'!I44</f>
        <v>1222386.06327765</v>
      </c>
      <c r="E40" s="551">
        <v>0.78</v>
      </c>
      <c r="F40" s="549">
        <f t="shared" si="0"/>
        <v>348013.312215148</v>
      </c>
      <c r="G40" s="549">
        <f t="shared" si="2"/>
        <v>953.461129356569</v>
      </c>
      <c r="H40" s="549">
        <f t="shared" si="1"/>
        <v>1115.42728274086</v>
      </c>
      <c r="I40" s="549">
        <v>6</v>
      </c>
      <c r="J40" s="549">
        <v>75</v>
      </c>
      <c r="K40" s="549">
        <v>170</v>
      </c>
      <c r="L40" s="549">
        <f t="shared" si="3"/>
        <v>15</v>
      </c>
      <c r="M40" s="549">
        <v>2</v>
      </c>
      <c r="N40" s="549">
        <v>8</v>
      </c>
      <c r="O40" s="549">
        <f t="shared" si="4"/>
        <v>69.7142051713036</v>
      </c>
    </row>
    <row r="41" spans="2:15">
      <c r="B41" s="549">
        <v>32</v>
      </c>
      <c r="C41" s="550">
        <v>2056</v>
      </c>
      <c r="D41" s="549">
        <f>+'III. Sit. Actual O-D'!I45</f>
        <v>1222526.92707191</v>
      </c>
      <c r="E41" s="551">
        <v>0.78</v>
      </c>
      <c r="F41" s="549">
        <f t="shared" si="0"/>
        <v>348053.416137374</v>
      </c>
      <c r="G41" s="549">
        <f t="shared" si="2"/>
        <v>953.571003116093</v>
      </c>
      <c r="H41" s="549">
        <f t="shared" si="1"/>
        <v>1115.55582095312</v>
      </c>
      <c r="I41" s="549">
        <v>6</v>
      </c>
      <c r="J41" s="549">
        <v>75</v>
      </c>
      <c r="K41" s="549">
        <v>170</v>
      </c>
      <c r="L41" s="549">
        <f t="shared" si="3"/>
        <v>15</v>
      </c>
      <c r="M41" s="549">
        <v>2</v>
      </c>
      <c r="N41" s="549">
        <v>8</v>
      </c>
      <c r="O41" s="549">
        <f t="shared" si="4"/>
        <v>69.7222388095701</v>
      </c>
    </row>
    <row r="42" spans="2:15">
      <c r="B42" s="549">
        <v>33</v>
      </c>
      <c r="C42" s="550">
        <v>2057</v>
      </c>
      <c r="D42" s="549">
        <f>+'III. Sit. Actual O-D'!I46</f>
        <v>1222174.89777461</v>
      </c>
      <c r="E42" s="551">
        <v>0.78</v>
      </c>
      <c r="F42" s="549">
        <f t="shared" si="0"/>
        <v>347953.193396432</v>
      </c>
      <c r="G42" s="549">
        <f t="shared" si="2"/>
        <v>953.296420264196</v>
      </c>
      <c r="H42" s="549">
        <f t="shared" si="1"/>
        <v>1115.23459421933</v>
      </c>
      <c r="I42" s="549">
        <v>6</v>
      </c>
      <c r="J42" s="549">
        <v>75</v>
      </c>
      <c r="K42" s="549">
        <v>170</v>
      </c>
      <c r="L42" s="549">
        <f t="shared" si="3"/>
        <v>15</v>
      </c>
      <c r="M42" s="549">
        <v>2</v>
      </c>
      <c r="N42" s="549">
        <v>8</v>
      </c>
      <c r="O42" s="549">
        <f t="shared" si="4"/>
        <v>69.7021621387083</v>
      </c>
    </row>
    <row r="43" spans="2:15">
      <c r="B43" s="549">
        <v>34</v>
      </c>
      <c r="C43" s="550">
        <v>2058</v>
      </c>
      <c r="D43" s="549">
        <f>+'III. Sit. Actual O-D'!I47</f>
        <v>1221342.21309061</v>
      </c>
      <c r="E43" s="551">
        <v>0.78</v>
      </c>
      <c r="F43" s="549">
        <f t="shared" si="0"/>
        <v>347716.128066895</v>
      </c>
      <c r="G43" s="549">
        <f t="shared" si="2"/>
        <v>952.646926210672</v>
      </c>
      <c r="H43" s="549">
        <f t="shared" si="1"/>
        <v>1114.47476944518</v>
      </c>
      <c r="I43" s="549">
        <v>6</v>
      </c>
      <c r="J43" s="549">
        <v>75</v>
      </c>
      <c r="K43" s="549">
        <v>170</v>
      </c>
      <c r="L43" s="549">
        <f t="shared" si="3"/>
        <v>15</v>
      </c>
      <c r="M43" s="549">
        <v>2</v>
      </c>
      <c r="N43" s="549">
        <v>8</v>
      </c>
      <c r="O43" s="549">
        <f t="shared" si="4"/>
        <v>69.6546730903236</v>
      </c>
    </row>
    <row r="44" spans="2:15">
      <c r="B44" s="549">
        <v>35</v>
      </c>
      <c r="C44" s="550">
        <v>2059</v>
      </c>
      <c r="D44" s="549">
        <f>+'III. Sit. Actual O-D'!I48</f>
        <v>1220062.72199079</v>
      </c>
      <c r="E44" s="551">
        <v>0.78</v>
      </c>
      <c r="F44" s="549">
        <f t="shared" si="0"/>
        <v>347351.856950778</v>
      </c>
      <c r="G44" s="549">
        <f t="shared" si="2"/>
        <v>951.648923152817</v>
      </c>
      <c r="H44" s="549">
        <f t="shared" si="1"/>
        <v>1113.3072338166</v>
      </c>
      <c r="I44" s="549">
        <v>6</v>
      </c>
      <c r="J44" s="549">
        <v>75</v>
      </c>
      <c r="K44" s="549">
        <v>170</v>
      </c>
      <c r="L44" s="549">
        <f t="shared" si="3"/>
        <v>15</v>
      </c>
      <c r="M44" s="549">
        <v>2</v>
      </c>
      <c r="N44" s="549">
        <v>8</v>
      </c>
      <c r="O44" s="549">
        <f t="shared" si="4"/>
        <v>69.5817021135373</v>
      </c>
    </row>
    <row r="45" spans="2:15">
      <c r="B45" s="549">
        <v>36</v>
      </c>
      <c r="C45" s="550">
        <v>2060</v>
      </c>
      <c r="D45" s="549">
        <f>+'III. Sit. Actual O-D'!I49</f>
        <v>1218386.41680141</v>
      </c>
      <c r="E45" s="551">
        <v>0.78</v>
      </c>
      <c r="F45" s="549">
        <f t="shared" si="0"/>
        <v>346874.612863363</v>
      </c>
      <c r="G45" s="549">
        <f t="shared" si="2"/>
        <v>950.341405105103</v>
      </c>
      <c r="H45" s="549">
        <f t="shared" si="1"/>
        <v>1111.77760533129</v>
      </c>
      <c r="I45" s="549">
        <v>6</v>
      </c>
      <c r="J45" s="549">
        <v>75</v>
      </c>
      <c r="K45" s="549">
        <v>170</v>
      </c>
      <c r="L45" s="549">
        <f t="shared" si="3"/>
        <v>15</v>
      </c>
      <c r="M45" s="549">
        <v>2</v>
      </c>
      <c r="N45" s="549">
        <v>8</v>
      </c>
      <c r="O45" s="549">
        <f t="shared" si="4"/>
        <v>69.4861003332057</v>
      </c>
    </row>
    <row r="46" spans="2:15">
      <c r="B46" s="549">
        <v>37</v>
      </c>
      <c r="C46" s="550">
        <v>2061</v>
      </c>
      <c r="D46" s="549">
        <f>+'III. Sit. Actual O-D'!I50</f>
        <v>1216356.25967784</v>
      </c>
      <c r="E46" s="551">
        <v>0.78</v>
      </c>
      <c r="F46" s="549">
        <f t="shared" si="0"/>
        <v>346296.627130281</v>
      </c>
      <c r="G46" s="549">
        <f t="shared" si="2"/>
        <v>948.757882548715</v>
      </c>
      <c r="H46" s="549">
        <f t="shared" si="1"/>
        <v>1109.92508695603</v>
      </c>
      <c r="I46" s="549">
        <v>6</v>
      </c>
      <c r="J46" s="549">
        <v>75</v>
      </c>
      <c r="K46" s="549">
        <v>170</v>
      </c>
      <c r="L46" s="549">
        <f t="shared" si="3"/>
        <v>15</v>
      </c>
      <c r="M46" s="549">
        <v>2</v>
      </c>
      <c r="N46" s="549">
        <v>8</v>
      </c>
      <c r="O46" s="549">
        <f t="shared" si="4"/>
        <v>69.3703179347518</v>
      </c>
    </row>
    <row r="47" spans="2:15">
      <c r="B47" s="549">
        <v>38</v>
      </c>
      <c r="C47" s="550">
        <v>2062</v>
      </c>
      <c r="D47" s="549">
        <f>+'III. Sit. Actual O-D'!I51</f>
        <v>1214023.28445311</v>
      </c>
      <c r="E47" s="551">
        <v>0.78</v>
      </c>
      <c r="F47" s="549">
        <f t="shared" si="0"/>
        <v>345632.4290838</v>
      </c>
      <c r="G47" s="549">
        <f t="shared" si="2"/>
        <v>946.938161873424</v>
      </c>
      <c r="H47" s="549">
        <f t="shared" si="1"/>
        <v>1107.79624706346</v>
      </c>
      <c r="I47" s="549">
        <v>6</v>
      </c>
      <c r="J47" s="549">
        <v>75</v>
      </c>
      <c r="K47" s="549">
        <v>170</v>
      </c>
      <c r="L47" s="549">
        <f t="shared" si="3"/>
        <v>15</v>
      </c>
      <c r="M47" s="549">
        <v>2</v>
      </c>
      <c r="N47" s="549">
        <v>8</v>
      </c>
      <c r="O47" s="549">
        <f t="shared" si="4"/>
        <v>69.2372654414663</v>
      </c>
    </row>
    <row r="48" spans="2:15">
      <c r="B48" s="549">
        <v>39</v>
      </c>
      <c r="C48" s="550">
        <v>2063</v>
      </c>
      <c r="D48" s="549">
        <f>+'III. Sit. Actual O-D'!I52</f>
        <v>1211443.21174085</v>
      </c>
      <c r="E48" s="551">
        <v>0.78</v>
      </c>
      <c r="F48" s="549">
        <f t="shared" si="0"/>
        <v>344897.882382619</v>
      </c>
      <c r="G48" s="549">
        <f t="shared" si="2"/>
        <v>944.92570515786</v>
      </c>
      <c r="H48" s="549">
        <f t="shared" si="1"/>
        <v>1105.44193071352</v>
      </c>
      <c r="I48" s="549">
        <v>6</v>
      </c>
      <c r="J48" s="549">
        <v>75</v>
      </c>
      <c r="K48" s="549">
        <v>170</v>
      </c>
      <c r="L48" s="549">
        <f t="shared" si="3"/>
        <v>15</v>
      </c>
      <c r="M48" s="549">
        <v>2</v>
      </c>
      <c r="N48" s="549">
        <v>8</v>
      </c>
      <c r="O48" s="549">
        <f t="shared" si="4"/>
        <v>69.0901206695952</v>
      </c>
    </row>
    <row r="51" s="537" customFormat="1" spans="2:16">
      <c r="B51" s="552" t="s">
        <v>752</v>
      </c>
      <c r="C51" s="552"/>
      <c r="D51" s="552"/>
      <c r="E51" s="552"/>
      <c r="F51" s="552"/>
      <c r="G51" s="552"/>
      <c r="H51" s="552"/>
      <c r="I51" s="552"/>
      <c r="J51" s="552"/>
      <c r="K51" s="552"/>
      <c r="L51" s="552"/>
      <c r="M51" s="552"/>
      <c r="N51" s="552"/>
      <c r="O51" s="552"/>
      <c r="P51" s="552"/>
    </row>
    <row r="52" s="537" customFormat="1" spans="2:7">
      <c r="B52" s="553" t="s">
        <v>753</v>
      </c>
      <c r="C52" s="553"/>
      <c r="D52" s="553"/>
      <c r="E52" s="553"/>
      <c r="F52" s="553"/>
      <c r="G52" s="553"/>
    </row>
    <row r="53" s="537" customFormat="1" ht="15" spans="2:9">
      <c r="B53" s="320" t="s">
        <v>754</v>
      </c>
      <c r="C53" s="553"/>
      <c r="D53" s="553"/>
      <c r="E53" s="553"/>
      <c r="F53" s="553"/>
      <c r="G53" s="553"/>
      <c r="I53" s="320" t="s">
        <v>755</v>
      </c>
    </row>
    <row r="54" s="537" customFormat="1" ht="51" spans="2:13">
      <c r="B54" s="554" t="s">
        <v>496</v>
      </c>
      <c r="C54" s="554" t="s">
        <v>756</v>
      </c>
      <c r="D54" s="554" t="s">
        <v>416</v>
      </c>
      <c r="E54" s="554" t="s">
        <v>757</v>
      </c>
      <c r="F54" s="554" t="s">
        <v>758</v>
      </c>
      <c r="G54" s="554" t="s">
        <v>321</v>
      </c>
      <c r="I54" s="577" t="s">
        <v>200</v>
      </c>
      <c r="J54" s="577"/>
      <c r="K54" s="577" t="s">
        <v>759</v>
      </c>
      <c r="L54" s="577" t="s">
        <v>760</v>
      </c>
      <c r="M54" s="577" t="s">
        <v>761</v>
      </c>
    </row>
    <row r="55" s="537" customFormat="1" spans="2:13">
      <c r="B55" s="555" t="s">
        <v>762</v>
      </c>
      <c r="C55" s="556">
        <v>25</v>
      </c>
      <c r="D55" s="557"/>
      <c r="E55" s="558"/>
      <c r="F55" s="559">
        <f>+D55*C55*E55</f>
        <v>0</v>
      </c>
      <c r="G55" s="560">
        <f t="shared" ref="G55:G60" si="5">+F55*312</f>
        <v>0</v>
      </c>
      <c r="I55" s="554"/>
      <c r="J55" s="554"/>
      <c r="K55" s="554"/>
      <c r="L55" s="554"/>
      <c r="M55" s="554"/>
    </row>
    <row r="56" s="537" customFormat="1" spans="1:13">
      <c r="A56" s="561"/>
      <c r="B56" s="562"/>
      <c r="C56" s="549">
        <v>25</v>
      </c>
      <c r="D56" s="563">
        <v>14</v>
      </c>
      <c r="E56" s="563">
        <v>3</v>
      </c>
      <c r="F56" s="564">
        <f>+D56*C56*E56</f>
        <v>1050</v>
      </c>
      <c r="G56" s="565">
        <f t="shared" si="5"/>
        <v>327600</v>
      </c>
      <c r="I56" s="578">
        <v>-1</v>
      </c>
      <c r="J56" s="579">
        <v>2023</v>
      </c>
      <c r="K56" s="580">
        <v>0</v>
      </c>
      <c r="L56" s="580">
        <v>0</v>
      </c>
      <c r="M56" s="580">
        <f>K56-L56</f>
        <v>0</v>
      </c>
    </row>
    <row r="57" s="537" customFormat="1" ht="14.25" customHeight="1" spans="1:13">
      <c r="A57" s="561"/>
      <c r="B57" s="562"/>
      <c r="C57" s="566"/>
      <c r="D57" s="567">
        <f>SUM(D55:D56)</f>
        <v>14</v>
      </c>
      <c r="E57" s="567">
        <f>+(E56*D56)+(E55*D55)</f>
        <v>42</v>
      </c>
      <c r="F57" s="568">
        <f>SUM(F55:F56)</f>
        <v>1050</v>
      </c>
      <c r="G57" s="568">
        <f t="shared" si="5"/>
        <v>327600</v>
      </c>
      <c r="I57" s="578">
        <f t="shared" ref="I57:I96" si="6">I56+1</f>
        <v>0</v>
      </c>
      <c r="J57" s="579">
        <v>2024</v>
      </c>
      <c r="K57" s="580">
        <v>0</v>
      </c>
      <c r="L57" s="580">
        <v>0</v>
      </c>
      <c r="M57" s="580">
        <f t="shared" ref="M57:M58" si="7">K57-L57</f>
        <v>0</v>
      </c>
    </row>
    <row r="58" s="537" customFormat="1" ht="14.25" customHeight="1" spans="1:13">
      <c r="A58" s="561"/>
      <c r="B58" s="562" t="s">
        <v>763</v>
      </c>
      <c r="C58" s="549">
        <v>25</v>
      </c>
      <c r="D58" s="569">
        <v>2</v>
      </c>
      <c r="E58" s="570">
        <v>4</v>
      </c>
      <c r="F58" s="571">
        <f>+D58*C58*E58</f>
        <v>200</v>
      </c>
      <c r="G58" s="572">
        <f t="shared" si="5"/>
        <v>62400</v>
      </c>
      <c r="H58" s="573"/>
      <c r="I58" s="578">
        <f t="shared" si="6"/>
        <v>1</v>
      </c>
      <c r="J58" s="579">
        <v>2025</v>
      </c>
      <c r="K58" s="580">
        <v>0</v>
      </c>
      <c r="L58" s="580">
        <v>0</v>
      </c>
      <c r="M58" s="580">
        <f t="shared" si="7"/>
        <v>0</v>
      </c>
    </row>
    <row r="59" s="537" customFormat="1" ht="14.25" customHeight="1" spans="1:13">
      <c r="A59" s="561"/>
      <c r="B59" s="562"/>
      <c r="C59" s="549">
        <v>25</v>
      </c>
      <c r="D59" s="563">
        <v>12</v>
      </c>
      <c r="E59" s="563">
        <v>3</v>
      </c>
      <c r="F59" s="564">
        <f>+D59*C59*E59</f>
        <v>900</v>
      </c>
      <c r="G59" s="565">
        <f t="shared" si="5"/>
        <v>280800</v>
      </c>
      <c r="H59" s="573"/>
      <c r="I59" s="578">
        <f t="shared" si="6"/>
        <v>2</v>
      </c>
      <c r="J59" s="579">
        <v>2026</v>
      </c>
      <c r="K59" s="580">
        <f>+$G$57</f>
        <v>327600</v>
      </c>
      <c r="L59" s="580">
        <f>+F11</f>
        <v>301400.249133491</v>
      </c>
      <c r="M59" s="580">
        <f>+K59-L59</f>
        <v>26199.7508665092</v>
      </c>
    </row>
    <row r="60" s="537" customFormat="1" ht="14.25" customHeight="1" spans="1:13">
      <c r="A60" s="561"/>
      <c r="B60" s="562"/>
      <c r="C60" s="566"/>
      <c r="D60" s="567">
        <f>SUM(D58:D59)</f>
        <v>14</v>
      </c>
      <c r="E60" s="567">
        <f>+(E59*D59)+(E58*D58)</f>
        <v>44</v>
      </c>
      <c r="F60" s="568">
        <f>SUM(F58:F59)</f>
        <v>1100</v>
      </c>
      <c r="G60" s="568">
        <f t="shared" si="5"/>
        <v>343200</v>
      </c>
      <c r="H60" s="574"/>
      <c r="I60" s="578">
        <f t="shared" si="6"/>
        <v>3</v>
      </c>
      <c r="J60" s="579">
        <v>2027</v>
      </c>
      <c r="K60" s="580">
        <f t="shared" ref="K60:K69" si="8">+$G$57</f>
        <v>327600</v>
      </c>
      <c r="L60" s="580">
        <f t="shared" ref="L60:L96" si="9">+F12</f>
        <v>304578.09579137</v>
      </c>
      <c r="M60" s="580">
        <f t="shared" ref="M60:M96" si="10">+K60-L60</f>
        <v>23021.9042086301</v>
      </c>
    </row>
    <row r="61" s="537" customFormat="1" ht="14.25" customHeight="1" spans="1:13">
      <c r="A61" s="561"/>
      <c r="B61" s="562" t="s">
        <v>764</v>
      </c>
      <c r="C61" s="549">
        <v>25</v>
      </c>
      <c r="D61" s="569">
        <v>4</v>
      </c>
      <c r="E61" s="570">
        <v>4</v>
      </c>
      <c r="F61" s="571">
        <f>+D61*C61*E61</f>
        <v>400</v>
      </c>
      <c r="G61" s="572">
        <f t="shared" ref="G61:G63" si="11">+F61*312</f>
        <v>124800</v>
      </c>
      <c r="H61" s="575"/>
      <c r="I61" s="578">
        <f t="shared" si="6"/>
        <v>4</v>
      </c>
      <c r="J61" s="579">
        <v>2028</v>
      </c>
      <c r="K61" s="580">
        <f t="shared" si="8"/>
        <v>327600</v>
      </c>
      <c r="L61" s="580">
        <f t="shared" si="9"/>
        <v>307560.982531588</v>
      </c>
      <c r="M61" s="580">
        <f t="shared" si="10"/>
        <v>20039.0174684125</v>
      </c>
    </row>
    <row r="62" s="537" customFormat="1" ht="14.25" customHeight="1" spans="1:13">
      <c r="A62" s="561"/>
      <c r="B62" s="562"/>
      <c r="C62" s="549">
        <v>25</v>
      </c>
      <c r="D62" s="563">
        <v>10</v>
      </c>
      <c r="E62" s="563">
        <v>3</v>
      </c>
      <c r="F62" s="564">
        <f>+D62*C62*E62</f>
        <v>750</v>
      </c>
      <c r="G62" s="565">
        <f t="shared" si="11"/>
        <v>234000</v>
      </c>
      <c r="H62" s="576"/>
      <c r="I62" s="578">
        <f t="shared" si="6"/>
        <v>5</v>
      </c>
      <c r="J62" s="579">
        <v>2029</v>
      </c>
      <c r="K62" s="580">
        <f t="shared" si="8"/>
        <v>327600</v>
      </c>
      <c r="L62" s="580">
        <f t="shared" si="9"/>
        <v>310364.550625105</v>
      </c>
      <c r="M62" s="580">
        <f t="shared" si="10"/>
        <v>17235.4493748955</v>
      </c>
    </row>
    <row r="63" s="537" customFormat="1" ht="14.25" customHeight="1" spans="2:13">
      <c r="B63" s="562"/>
      <c r="C63" s="566"/>
      <c r="D63" s="567">
        <f>SUM(D61:D62)</f>
        <v>14</v>
      </c>
      <c r="E63" s="567">
        <f>+(E62*D62)+(E61*D61)</f>
        <v>46</v>
      </c>
      <c r="F63" s="568">
        <f>SUM(F61:F62)</f>
        <v>1150</v>
      </c>
      <c r="G63" s="568">
        <f t="shared" si="11"/>
        <v>358800</v>
      </c>
      <c r="H63" s="576"/>
      <c r="I63" s="578">
        <f t="shared" si="6"/>
        <v>6</v>
      </c>
      <c r="J63" s="579">
        <v>2030</v>
      </c>
      <c r="K63" s="580">
        <f t="shared" si="8"/>
        <v>327600</v>
      </c>
      <c r="L63" s="580">
        <f t="shared" si="9"/>
        <v>313016.746797761</v>
      </c>
      <c r="M63" s="580">
        <f t="shared" si="10"/>
        <v>14583.2532022395</v>
      </c>
    </row>
    <row r="64" s="537" customFormat="1" ht="14.25" customHeight="1" spans="8:13">
      <c r="H64" s="576"/>
      <c r="I64" s="578">
        <f t="shared" si="6"/>
        <v>7</v>
      </c>
      <c r="J64" s="579">
        <v>2031</v>
      </c>
      <c r="K64" s="580">
        <f t="shared" si="8"/>
        <v>327600</v>
      </c>
      <c r="L64" s="580">
        <f t="shared" si="9"/>
        <v>315546.926231074</v>
      </c>
      <c r="M64" s="580">
        <f t="shared" si="10"/>
        <v>12053.0737689256</v>
      </c>
    </row>
    <row r="65" s="537" customFormat="1" ht="14.25" customHeight="1" spans="9:13">
      <c r="I65" s="578">
        <f t="shared" si="6"/>
        <v>8</v>
      </c>
      <c r="J65" s="579">
        <v>2032</v>
      </c>
      <c r="K65" s="580">
        <f t="shared" si="8"/>
        <v>327600</v>
      </c>
      <c r="L65" s="580">
        <f t="shared" si="9"/>
        <v>317981.478936714</v>
      </c>
      <c r="M65" s="580">
        <f t="shared" si="10"/>
        <v>9618.52106328611</v>
      </c>
    </row>
    <row r="66" s="537" customFormat="1" ht="13.2" customHeight="1" spans="9:13">
      <c r="I66" s="578">
        <f t="shared" si="6"/>
        <v>9</v>
      </c>
      <c r="J66" s="579">
        <v>2033</v>
      </c>
      <c r="K66" s="580">
        <f t="shared" si="8"/>
        <v>327600</v>
      </c>
      <c r="L66" s="580">
        <f t="shared" si="9"/>
        <v>320344.496919713</v>
      </c>
      <c r="M66" s="580">
        <f t="shared" si="10"/>
        <v>7255.50308028667</v>
      </c>
    </row>
    <row r="67" s="537" customFormat="1" ht="16.95" customHeight="1" spans="9:13">
      <c r="I67" s="578">
        <f t="shared" si="6"/>
        <v>10</v>
      </c>
      <c r="J67" s="579">
        <v>2034</v>
      </c>
      <c r="K67" s="580">
        <f t="shared" si="8"/>
        <v>327600</v>
      </c>
      <c r="L67" s="580">
        <f t="shared" si="9"/>
        <v>322658.367212443</v>
      </c>
      <c r="M67" s="580">
        <f t="shared" si="10"/>
        <v>4941.63278755679</v>
      </c>
    </row>
    <row r="68" s="537" customFormat="1" spans="9:13">
      <c r="I68" s="578">
        <f t="shared" si="6"/>
        <v>11</v>
      </c>
      <c r="J68" s="579">
        <v>2035</v>
      </c>
      <c r="K68" s="580">
        <f t="shared" si="8"/>
        <v>327600</v>
      </c>
      <c r="L68" s="580">
        <f t="shared" si="9"/>
        <v>324930.947515007</v>
      </c>
      <c r="M68" s="580">
        <f t="shared" si="10"/>
        <v>2669.0524849933</v>
      </c>
    </row>
    <row r="69" s="537" customFormat="1" spans="9:13">
      <c r="I69" s="578">
        <f t="shared" si="6"/>
        <v>12</v>
      </c>
      <c r="J69" s="579">
        <v>2036</v>
      </c>
      <c r="K69" s="580">
        <f t="shared" si="8"/>
        <v>327600</v>
      </c>
      <c r="L69" s="580">
        <f t="shared" si="9"/>
        <v>327166.463194441</v>
      </c>
      <c r="M69" s="580">
        <f t="shared" si="10"/>
        <v>433.536805559357</v>
      </c>
    </row>
    <row r="70" s="537" customFormat="1" spans="9:13">
      <c r="I70" s="583">
        <f t="shared" si="6"/>
        <v>13</v>
      </c>
      <c r="J70" s="584">
        <v>2037</v>
      </c>
      <c r="K70" s="585">
        <f>+$G$60</f>
        <v>343200</v>
      </c>
      <c r="L70" s="585">
        <f t="shared" si="9"/>
        <v>329354.610285515</v>
      </c>
      <c r="M70" s="585">
        <f t="shared" si="10"/>
        <v>13845.3897144849</v>
      </c>
    </row>
    <row r="71" s="537" customFormat="1" spans="9:13">
      <c r="I71" s="578">
        <f t="shared" si="6"/>
        <v>14</v>
      </c>
      <c r="J71" s="579">
        <v>2038</v>
      </c>
      <c r="K71" s="580">
        <f t="shared" ref="K71:K79" si="12">+$G$60</f>
        <v>343200</v>
      </c>
      <c r="L71" s="580">
        <f t="shared" si="9"/>
        <v>331470.852007718</v>
      </c>
      <c r="M71" s="580">
        <f t="shared" si="10"/>
        <v>11729.1479922817</v>
      </c>
    </row>
    <row r="72" s="537" customFormat="1" spans="9:13">
      <c r="I72" s="578">
        <f t="shared" si="6"/>
        <v>15</v>
      </c>
      <c r="J72" s="579">
        <v>2039</v>
      </c>
      <c r="K72" s="580">
        <f t="shared" si="12"/>
        <v>343200</v>
      </c>
      <c r="L72" s="580">
        <f t="shared" si="9"/>
        <v>333483.238655913</v>
      </c>
      <c r="M72" s="580">
        <f t="shared" si="10"/>
        <v>9716.76134408743</v>
      </c>
    </row>
    <row r="73" s="537" customFormat="1" spans="9:13">
      <c r="I73" s="578">
        <f t="shared" si="6"/>
        <v>16</v>
      </c>
      <c r="J73" s="579">
        <v>2040</v>
      </c>
      <c r="K73" s="580">
        <f t="shared" si="12"/>
        <v>343200</v>
      </c>
      <c r="L73" s="580">
        <f t="shared" si="9"/>
        <v>335359.598137221</v>
      </c>
      <c r="M73" s="580">
        <f t="shared" si="10"/>
        <v>7840.40186277853</v>
      </c>
    </row>
    <row r="74" s="537" customFormat="1" spans="9:13">
      <c r="I74" s="578">
        <f t="shared" si="6"/>
        <v>17</v>
      </c>
      <c r="J74" s="579">
        <v>2041</v>
      </c>
      <c r="K74" s="580">
        <f t="shared" si="12"/>
        <v>343200</v>
      </c>
      <c r="L74" s="580">
        <f t="shared" si="9"/>
        <v>337072.131984298</v>
      </c>
      <c r="M74" s="580">
        <f t="shared" si="10"/>
        <v>6127.86801570223</v>
      </c>
    </row>
    <row r="75" s="537" customFormat="1" spans="9:13">
      <c r="I75" s="578">
        <f t="shared" si="6"/>
        <v>18</v>
      </c>
      <c r="J75" s="579">
        <v>2042</v>
      </c>
      <c r="K75" s="580">
        <f t="shared" si="12"/>
        <v>343200</v>
      </c>
      <c r="L75" s="580">
        <f t="shared" si="9"/>
        <v>338611.944687591</v>
      </c>
      <c r="M75" s="580">
        <f t="shared" si="10"/>
        <v>4588.05531240918</v>
      </c>
    </row>
    <row r="76" s="537" customFormat="1" spans="3:13">
      <c r="C76" s="80"/>
      <c r="D76" s="80"/>
      <c r="E76" s="80"/>
      <c r="F76" s="80"/>
      <c r="G76" s="80"/>
      <c r="I76" s="578">
        <f t="shared" si="6"/>
        <v>19</v>
      </c>
      <c r="J76" s="579">
        <v>2043</v>
      </c>
      <c r="K76" s="580">
        <f t="shared" si="12"/>
        <v>343200</v>
      </c>
      <c r="L76" s="580">
        <f t="shared" si="9"/>
        <v>339978.369083884</v>
      </c>
      <c r="M76" s="580">
        <f t="shared" si="10"/>
        <v>3221.63091611629</v>
      </c>
    </row>
    <row r="77" s="537" customFormat="1" spans="9:13">
      <c r="I77" s="578">
        <f t="shared" si="6"/>
        <v>20</v>
      </c>
      <c r="J77" s="579">
        <v>2044</v>
      </c>
      <c r="K77" s="580">
        <f t="shared" si="12"/>
        <v>343200</v>
      </c>
      <c r="L77" s="580">
        <f t="shared" si="9"/>
        <v>341186.898185645</v>
      </c>
      <c r="M77" s="580">
        <f t="shared" si="10"/>
        <v>2013.10181435518</v>
      </c>
    </row>
    <row r="78" s="537" customFormat="1" spans="9:13">
      <c r="I78" s="578">
        <f t="shared" si="6"/>
        <v>21</v>
      </c>
      <c r="J78" s="579">
        <v>2045</v>
      </c>
      <c r="K78" s="580">
        <f t="shared" si="12"/>
        <v>343200</v>
      </c>
      <c r="L78" s="580">
        <f t="shared" si="9"/>
        <v>342251.394161925</v>
      </c>
      <c r="M78" s="580">
        <f t="shared" si="10"/>
        <v>948.605838075338</v>
      </c>
    </row>
    <row r="79" s="537" customFormat="1" spans="9:13">
      <c r="I79" s="578">
        <f t="shared" si="6"/>
        <v>22</v>
      </c>
      <c r="J79" s="579">
        <v>2046</v>
      </c>
      <c r="K79" s="580">
        <f t="shared" si="12"/>
        <v>343200</v>
      </c>
      <c r="L79" s="580">
        <f t="shared" si="9"/>
        <v>343192.761460168</v>
      </c>
      <c r="M79" s="580">
        <f t="shared" si="10"/>
        <v>7.23853983171284</v>
      </c>
    </row>
    <row r="80" s="537" customFormat="1" ht="15" spans="2:13">
      <c r="B80"/>
      <c r="C80"/>
      <c r="D80"/>
      <c r="E80"/>
      <c r="F80"/>
      <c r="G80"/>
      <c r="I80" s="586">
        <f t="shared" si="6"/>
        <v>23</v>
      </c>
      <c r="J80" s="586">
        <v>2047</v>
      </c>
      <c r="K80" s="587">
        <f>+$G$63</f>
        <v>358800</v>
      </c>
      <c r="L80" s="587">
        <f t="shared" si="9"/>
        <v>344031.533881589</v>
      </c>
      <c r="M80" s="587">
        <f t="shared" si="10"/>
        <v>14768.4661184106</v>
      </c>
    </row>
    <row r="81" s="537" customFormat="1" ht="15" spans="2:13">
      <c r="B81"/>
      <c r="C81"/>
      <c r="D81"/>
      <c r="E81"/>
      <c r="F81"/>
      <c r="G81"/>
      <c r="I81" s="578">
        <f t="shared" si="6"/>
        <v>24</v>
      </c>
      <c r="J81" s="579">
        <v>2048</v>
      </c>
      <c r="K81" s="580">
        <f t="shared" ref="K81:K96" si="13">+$G$63</f>
        <v>358800</v>
      </c>
      <c r="L81" s="580">
        <f t="shared" si="9"/>
        <v>344786.317866999</v>
      </c>
      <c r="M81" s="580">
        <f t="shared" si="10"/>
        <v>14013.6821330009</v>
      </c>
    </row>
    <row r="82" s="537" customFormat="1" ht="15" spans="2:13">
      <c r="B82"/>
      <c r="C82"/>
      <c r="D82"/>
      <c r="E82"/>
      <c r="F82"/>
      <c r="G82"/>
      <c r="I82" s="578">
        <f t="shared" si="6"/>
        <v>25</v>
      </c>
      <c r="J82" s="579">
        <v>2049</v>
      </c>
      <c r="K82" s="580">
        <f t="shared" si="13"/>
        <v>358800</v>
      </c>
      <c r="L82" s="580">
        <f t="shared" si="9"/>
        <v>345470.160163739</v>
      </c>
      <c r="M82" s="580">
        <f t="shared" si="10"/>
        <v>13329.8398362613</v>
      </c>
    </row>
    <row r="83" s="537" customFormat="1" ht="15" spans="2:13">
      <c r="B83"/>
      <c r="C83"/>
      <c r="D83"/>
      <c r="E83"/>
      <c r="F83"/>
      <c r="G83"/>
      <c r="I83" s="578">
        <f t="shared" si="6"/>
        <v>26</v>
      </c>
      <c r="J83" s="579">
        <v>2050</v>
      </c>
      <c r="K83" s="580">
        <f t="shared" si="13"/>
        <v>358800</v>
      </c>
      <c r="L83" s="580">
        <f t="shared" si="9"/>
        <v>346091.214988897</v>
      </c>
      <c r="M83" s="580">
        <f t="shared" si="10"/>
        <v>12708.7850111031</v>
      </c>
    </row>
    <row r="84" s="537" customFormat="1" ht="15" spans="2:13">
      <c r="B84"/>
      <c r="C84"/>
      <c r="D84"/>
      <c r="E84"/>
      <c r="F84"/>
      <c r="G84"/>
      <c r="I84" s="578">
        <f t="shared" si="6"/>
        <v>27</v>
      </c>
      <c r="J84" s="579">
        <v>2051</v>
      </c>
      <c r="K84" s="580">
        <f t="shared" si="13"/>
        <v>358800</v>
      </c>
      <c r="L84" s="580">
        <f t="shared" si="9"/>
        <v>346648.741050011</v>
      </c>
      <c r="M84" s="580">
        <f t="shared" si="10"/>
        <v>12151.2589499888</v>
      </c>
    </row>
    <row r="85" s="537" customFormat="1" ht="15" spans="2:13">
      <c r="B85"/>
      <c r="C85"/>
      <c r="D85"/>
      <c r="E85"/>
      <c r="F85"/>
      <c r="G85"/>
      <c r="I85" s="578">
        <f t="shared" si="6"/>
        <v>28</v>
      </c>
      <c r="J85" s="579">
        <v>2052</v>
      </c>
      <c r="K85" s="580">
        <f t="shared" si="13"/>
        <v>358800</v>
      </c>
      <c r="L85" s="580">
        <f t="shared" si="9"/>
        <v>347137.104524366</v>
      </c>
      <c r="M85" s="580">
        <f t="shared" si="10"/>
        <v>11662.8954756341</v>
      </c>
    </row>
    <row r="86" s="537" customFormat="1" ht="15" spans="2:13">
      <c r="B86"/>
      <c r="C86"/>
      <c r="D86"/>
      <c r="E86"/>
      <c r="F86"/>
      <c r="G86"/>
      <c r="I86" s="578">
        <f t="shared" si="6"/>
        <v>29</v>
      </c>
      <c r="J86" s="579">
        <v>2053</v>
      </c>
      <c r="K86" s="580">
        <f t="shared" si="13"/>
        <v>358800</v>
      </c>
      <c r="L86" s="580">
        <f t="shared" si="9"/>
        <v>347540.590011754</v>
      </c>
      <c r="M86" s="580">
        <f t="shared" si="10"/>
        <v>11259.4099882462</v>
      </c>
    </row>
    <row r="87" s="537" customFormat="1" ht="15" spans="2:13">
      <c r="B87"/>
      <c r="C87"/>
      <c r="D87"/>
      <c r="E87"/>
      <c r="F87"/>
      <c r="G87"/>
      <c r="I87" s="578">
        <f t="shared" si="6"/>
        <v>30</v>
      </c>
      <c r="J87" s="579">
        <v>2054</v>
      </c>
      <c r="K87" s="580">
        <f t="shared" si="13"/>
        <v>358800</v>
      </c>
      <c r="L87" s="580">
        <f t="shared" si="9"/>
        <v>347838.811969454</v>
      </c>
      <c r="M87" s="580">
        <f t="shared" si="10"/>
        <v>10961.188030546</v>
      </c>
    </row>
    <row r="88" ht="15" spans="1:15">
      <c r="A88" s="537"/>
      <c r="B88"/>
      <c r="C88"/>
      <c r="D88"/>
      <c r="E88"/>
      <c r="F88"/>
      <c r="G88"/>
      <c r="H88" s="537"/>
      <c r="I88" s="578">
        <f t="shared" si="6"/>
        <v>31</v>
      </c>
      <c r="J88" s="579">
        <v>2055</v>
      </c>
      <c r="K88" s="580">
        <f t="shared" si="13"/>
        <v>358800</v>
      </c>
      <c r="L88" s="580">
        <f t="shared" si="9"/>
        <v>348013.312215148</v>
      </c>
      <c r="M88" s="580">
        <f t="shared" si="10"/>
        <v>10786.6877848523</v>
      </c>
      <c r="N88" s="537"/>
      <c r="O88" s="537"/>
    </row>
    <row r="89" ht="15" spans="1:16">
      <c r="A89" s="537"/>
      <c r="B89"/>
      <c r="C89"/>
      <c r="D89"/>
      <c r="E89"/>
      <c r="F89"/>
      <c r="G89"/>
      <c r="H89" s="537"/>
      <c r="I89" s="578">
        <f t="shared" si="6"/>
        <v>32</v>
      </c>
      <c r="J89" s="579">
        <v>2056</v>
      </c>
      <c r="K89" s="580">
        <f t="shared" si="13"/>
        <v>358800</v>
      </c>
      <c r="L89" s="580">
        <f t="shared" si="9"/>
        <v>348053.416137374</v>
      </c>
      <c r="M89" s="580">
        <f t="shared" si="10"/>
        <v>10746.5838626261</v>
      </c>
      <c r="N89" s="537"/>
      <c r="O89" s="537"/>
      <c r="P89" s="537"/>
    </row>
    <row r="90" s="537" customFormat="1" ht="15" spans="2:13">
      <c r="B90"/>
      <c r="C90"/>
      <c r="D90"/>
      <c r="E90"/>
      <c r="F90"/>
      <c r="G90"/>
      <c r="I90" s="578">
        <f t="shared" si="6"/>
        <v>33</v>
      </c>
      <c r="J90" s="579">
        <v>2057</v>
      </c>
      <c r="K90" s="580">
        <f t="shared" si="13"/>
        <v>358800</v>
      </c>
      <c r="L90" s="580">
        <f t="shared" si="9"/>
        <v>347953.193396432</v>
      </c>
      <c r="M90" s="580">
        <f t="shared" si="10"/>
        <v>10846.8066035683</v>
      </c>
    </row>
    <row r="91" s="537" customFormat="1" ht="15" spans="2:13">
      <c r="B91"/>
      <c r="C91"/>
      <c r="D91"/>
      <c r="E91"/>
      <c r="F91"/>
      <c r="G91"/>
      <c r="I91" s="578">
        <f t="shared" si="6"/>
        <v>34</v>
      </c>
      <c r="J91" s="579">
        <v>2058</v>
      </c>
      <c r="K91" s="580">
        <f t="shared" si="13"/>
        <v>358800</v>
      </c>
      <c r="L91" s="580">
        <f t="shared" si="9"/>
        <v>347716.128066895</v>
      </c>
      <c r="M91" s="580">
        <f t="shared" si="10"/>
        <v>11083.8719331047</v>
      </c>
    </row>
    <row r="92" customFormat="1" ht="15" spans="2:13">
      <c r="B92" s="80"/>
      <c r="C92" s="80"/>
      <c r="D92" s="80"/>
      <c r="E92" s="80"/>
      <c r="F92" s="80"/>
      <c r="G92" s="80"/>
      <c r="I92" s="578">
        <f t="shared" si="6"/>
        <v>35</v>
      </c>
      <c r="J92" s="579">
        <v>2059</v>
      </c>
      <c r="K92" s="580">
        <f t="shared" si="13"/>
        <v>358800</v>
      </c>
      <c r="L92" s="580">
        <f t="shared" si="9"/>
        <v>347351.856950778</v>
      </c>
      <c r="M92" s="580">
        <f t="shared" si="10"/>
        <v>11448.1430492217</v>
      </c>
    </row>
    <row r="93" customFormat="1" ht="15" spans="2:13">
      <c r="B93" s="80"/>
      <c r="C93" s="80"/>
      <c r="D93" s="80"/>
      <c r="E93" s="80"/>
      <c r="F93" s="80"/>
      <c r="G93" s="80"/>
      <c r="I93" s="578">
        <f t="shared" si="6"/>
        <v>36</v>
      </c>
      <c r="J93" s="579">
        <v>2060</v>
      </c>
      <c r="K93" s="580">
        <f t="shared" si="13"/>
        <v>358800</v>
      </c>
      <c r="L93" s="580">
        <f t="shared" si="9"/>
        <v>346874.612863363</v>
      </c>
      <c r="M93" s="580">
        <f t="shared" si="10"/>
        <v>11925.3871366373</v>
      </c>
    </row>
    <row r="94" customFormat="1" ht="15" spans="2:13">
      <c r="B94" s="80"/>
      <c r="C94" s="80"/>
      <c r="D94" s="80"/>
      <c r="E94" s="80"/>
      <c r="F94" s="80"/>
      <c r="G94" s="80"/>
      <c r="I94" s="578">
        <f t="shared" si="6"/>
        <v>37</v>
      </c>
      <c r="J94" s="579">
        <v>2061</v>
      </c>
      <c r="K94" s="580">
        <f t="shared" si="13"/>
        <v>358800</v>
      </c>
      <c r="L94" s="580">
        <f t="shared" si="9"/>
        <v>346296.627130281</v>
      </c>
      <c r="M94" s="580">
        <f t="shared" si="10"/>
        <v>12503.3728697191</v>
      </c>
    </row>
    <row r="95" customFormat="1" ht="15" spans="2:13">
      <c r="B95" s="80"/>
      <c r="C95" s="80"/>
      <c r="D95" s="80"/>
      <c r="E95" s="80"/>
      <c r="F95" s="80"/>
      <c r="G95" s="80"/>
      <c r="I95" s="578">
        <f t="shared" si="6"/>
        <v>38</v>
      </c>
      <c r="J95" s="579">
        <v>2062</v>
      </c>
      <c r="K95" s="580">
        <f t="shared" si="13"/>
        <v>358800</v>
      </c>
      <c r="L95" s="580">
        <f t="shared" si="9"/>
        <v>345632.4290838</v>
      </c>
      <c r="M95" s="580">
        <f t="shared" si="10"/>
        <v>13167.5709162002</v>
      </c>
    </row>
    <row r="96" customFormat="1" ht="15" spans="2:13">
      <c r="B96" s="80"/>
      <c r="C96" s="80"/>
      <c r="D96" s="80"/>
      <c r="E96" s="80"/>
      <c r="F96" s="80"/>
      <c r="G96" s="80"/>
      <c r="I96" s="578">
        <f t="shared" si="6"/>
        <v>39</v>
      </c>
      <c r="J96" s="579">
        <v>2063</v>
      </c>
      <c r="K96" s="580">
        <f t="shared" si="13"/>
        <v>358800</v>
      </c>
      <c r="L96" s="580">
        <f t="shared" si="9"/>
        <v>344897.882382619</v>
      </c>
      <c r="M96" s="580">
        <f t="shared" si="10"/>
        <v>13902.117617381</v>
      </c>
    </row>
    <row r="97" customFormat="1" ht="15" spans="2:7">
      <c r="B97" s="80"/>
      <c r="C97" s="80"/>
      <c r="D97" s="80"/>
      <c r="E97" s="80"/>
      <c r="F97" s="80"/>
      <c r="G97" s="80"/>
    </row>
    <row r="98" customFormat="1" ht="15" spans="2:7">
      <c r="B98" s="80"/>
      <c r="C98" s="80"/>
      <c r="D98" s="80"/>
      <c r="E98" s="80"/>
      <c r="F98" s="80"/>
      <c r="G98" s="80"/>
    </row>
    <row r="99" customFormat="1" ht="15" spans="2:7">
      <c r="B99" s="80"/>
      <c r="C99" s="80"/>
      <c r="D99" s="80"/>
      <c r="E99" s="80"/>
      <c r="F99" s="80"/>
      <c r="G99" s="80"/>
    </row>
    <row r="100" customFormat="1" ht="15" spans="2:7">
      <c r="B100" s="80"/>
      <c r="C100" s="80"/>
      <c r="D100" s="80"/>
      <c r="E100" s="80"/>
      <c r="F100" s="80"/>
      <c r="G100" s="80"/>
    </row>
    <row r="101" customFormat="1" ht="15" spans="2:7">
      <c r="B101" s="80"/>
      <c r="C101" s="80"/>
      <c r="D101" s="80"/>
      <c r="E101" s="80"/>
      <c r="F101" s="80"/>
      <c r="G101" s="80"/>
    </row>
    <row r="102" customFormat="1" ht="15" spans="2:7">
      <c r="B102" s="80"/>
      <c r="C102" s="80"/>
      <c r="D102" s="80"/>
      <c r="E102" s="80"/>
      <c r="F102" s="80"/>
      <c r="G102" s="80"/>
    </row>
    <row r="103" customFormat="1" ht="15" spans="2:11">
      <c r="B103" s="80"/>
      <c r="C103" s="80"/>
      <c r="D103" s="80"/>
      <c r="E103" s="80"/>
      <c r="F103" s="80"/>
      <c r="G103" s="80"/>
      <c r="K103" s="80"/>
    </row>
  </sheetData>
  <mergeCells count="17">
    <mergeCell ref="B2:Q2"/>
    <mergeCell ref="B4:Q4"/>
    <mergeCell ref="E7:H7"/>
    <mergeCell ref="I7:J7"/>
    <mergeCell ref="K7:L7"/>
    <mergeCell ref="M7:O7"/>
    <mergeCell ref="B51:P51"/>
    <mergeCell ref="B52:G52"/>
    <mergeCell ref="B55:B57"/>
    <mergeCell ref="B58:B60"/>
    <mergeCell ref="B61:B63"/>
    <mergeCell ref="D7:D8"/>
    <mergeCell ref="K54:K55"/>
    <mergeCell ref="L54:L55"/>
    <mergeCell ref="M54:M55"/>
    <mergeCell ref="I54:J55"/>
    <mergeCell ref="B7:C8"/>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349986266670736"/>
  </sheetPr>
  <dimension ref="B2:U55"/>
  <sheetViews>
    <sheetView zoomScale="85" zoomScaleNormal="85" topLeftCell="A12" workbookViewId="0">
      <selection activeCell="B14" sqref="B14:G54"/>
    </sheetView>
  </sheetViews>
  <sheetFormatPr defaultColWidth="11.552380952381" defaultRowHeight="15"/>
  <cols>
    <col min="1" max="1" width="3.43809523809524" customWidth="1"/>
    <col min="4" max="4" width="16.552380952381" customWidth="1"/>
    <col min="5" max="7" width="13.6666666666667" customWidth="1"/>
  </cols>
  <sheetData>
    <row r="2" ht="21" customHeight="1" spans="2:21">
      <c r="B2" s="2" t="s">
        <v>0</v>
      </c>
      <c r="C2" s="2"/>
      <c r="D2" s="2"/>
      <c r="E2" s="2"/>
      <c r="F2" s="2"/>
      <c r="G2" s="2"/>
      <c r="H2" s="2"/>
      <c r="I2" s="2"/>
      <c r="J2" s="2"/>
      <c r="K2" s="2"/>
      <c r="L2" s="2"/>
      <c r="M2" s="2"/>
      <c r="N2" s="2"/>
      <c r="O2" s="2"/>
      <c r="P2" s="2"/>
      <c r="Q2" s="2"/>
      <c r="R2" s="2"/>
      <c r="S2" s="2"/>
      <c r="T2" s="2"/>
      <c r="U2" s="2"/>
    </row>
    <row r="4" ht="19.2" customHeight="1" spans="2:21">
      <c r="B4" s="527" t="s">
        <v>765</v>
      </c>
      <c r="C4" s="527"/>
      <c r="D4" s="527"/>
      <c r="E4" s="527"/>
      <c r="F4" s="527"/>
      <c r="G4" s="527"/>
      <c r="H4" s="527"/>
      <c r="I4" s="527"/>
      <c r="J4" s="527"/>
      <c r="K4" s="527"/>
      <c r="L4" s="527"/>
      <c r="M4" s="527"/>
      <c r="N4" s="527"/>
      <c r="O4" s="527"/>
      <c r="P4" s="527"/>
      <c r="Q4" s="527"/>
      <c r="R4" s="527"/>
      <c r="S4" s="527"/>
      <c r="T4" s="527"/>
      <c r="U4" s="527"/>
    </row>
    <row r="5" ht="15.75" spans="2:14">
      <c r="B5" s="528"/>
      <c r="C5" s="528"/>
      <c r="D5" s="528"/>
      <c r="E5" s="528"/>
      <c r="F5" s="528"/>
      <c r="G5" s="528"/>
      <c r="H5" s="528"/>
      <c r="I5" s="528"/>
      <c r="J5" s="528"/>
      <c r="K5" s="528"/>
      <c r="L5" s="528"/>
      <c r="M5" s="528"/>
      <c r="N5" s="528"/>
    </row>
    <row r="6" spans="2:2">
      <c r="B6" t="s">
        <v>766</v>
      </c>
    </row>
    <row r="7" ht="21" customHeight="1" spans="2:6">
      <c r="B7" s="529" t="s">
        <v>767</v>
      </c>
      <c r="C7" s="530"/>
      <c r="D7" s="531"/>
      <c r="F7" s="321">
        <f>+F17*312</f>
        <v>405600</v>
      </c>
    </row>
    <row r="8" spans="2:4">
      <c r="B8" s="291" t="s">
        <v>768</v>
      </c>
      <c r="C8" s="532">
        <v>15</v>
      </c>
      <c r="D8" s="195" t="s">
        <v>769</v>
      </c>
    </row>
    <row r="9" spans="2:4">
      <c r="B9" s="195" t="s">
        <v>770</v>
      </c>
      <c r="C9" s="533">
        <f>+C8</f>
        <v>15</v>
      </c>
      <c r="D9" s="195"/>
    </row>
    <row r="10" spans="2:4">
      <c r="B10" s="195" t="s">
        <v>771</v>
      </c>
      <c r="C10" s="533">
        <f>+C9*0.9470863</f>
        <v>14.2062945</v>
      </c>
      <c r="D10" s="195"/>
    </row>
    <row r="11" spans="2:3">
      <c r="B11" t="s">
        <v>772</v>
      </c>
      <c r="C11" s="534"/>
    </row>
    <row r="12" spans="3:3">
      <c r="C12" s="534"/>
    </row>
    <row r="13" spans="2:2">
      <c r="B13" t="s">
        <v>773</v>
      </c>
    </row>
    <row r="14" ht="45" spans="2:7">
      <c r="B14" s="535" t="s">
        <v>474</v>
      </c>
      <c r="C14" s="535" t="s">
        <v>200</v>
      </c>
      <c r="D14" s="535" t="s">
        <v>774</v>
      </c>
      <c r="E14" s="535" t="s">
        <v>775</v>
      </c>
      <c r="F14" s="535" t="s">
        <v>776</v>
      </c>
      <c r="G14" s="535" t="s">
        <v>777</v>
      </c>
    </row>
    <row r="15" spans="2:9">
      <c r="B15" s="209">
        <v>0</v>
      </c>
      <c r="C15" s="209">
        <v>2024</v>
      </c>
      <c r="D15" s="298">
        <f>+'V. Sit.Con Proyecto'!F9</f>
        <v>0</v>
      </c>
      <c r="E15" s="298">
        <f t="shared" ref="E15:E54" si="0">+D15/312</f>
        <v>0</v>
      </c>
      <c r="F15" s="298">
        <v>0</v>
      </c>
      <c r="G15" s="298">
        <f t="shared" ref="G15:G54" si="1">+F15-E15</f>
        <v>0</v>
      </c>
      <c r="I15" s="321"/>
    </row>
    <row r="16" spans="2:7">
      <c r="B16" s="209">
        <v>1</v>
      </c>
      <c r="C16" s="209">
        <v>2025</v>
      </c>
      <c r="D16" s="298">
        <f>+'V. Sit.Con Proyecto'!F10</f>
        <v>0</v>
      </c>
      <c r="E16" s="298">
        <f t="shared" si="0"/>
        <v>0</v>
      </c>
      <c r="F16" s="298">
        <v>0</v>
      </c>
      <c r="G16" s="298">
        <f t="shared" si="1"/>
        <v>0</v>
      </c>
    </row>
    <row r="17" spans="2:7">
      <c r="B17" s="209">
        <v>2</v>
      </c>
      <c r="C17" s="209">
        <v>2026</v>
      </c>
      <c r="D17" s="298">
        <f>+'V. Sit.Con Proyecto'!F56</f>
        <v>340795.823872859</v>
      </c>
      <c r="E17" s="298">
        <f t="shared" si="0"/>
        <v>1092.2943072848</v>
      </c>
      <c r="F17" s="298">
        <v>1300</v>
      </c>
      <c r="G17" s="298">
        <f t="shared" si="1"/>
        <v>207.705692715197</v>
      </c>
    </row>
    <row r="18" spans="2:7">
      <c r="B18" s="209">
        <v>3</v>
      </c>
      <c r="C18" s="209">
        <v>2027</v>
      </c>
      <c r="D18" s="298">
        <f>+'V. Sit.Con Proyecto'!F57</f>
        <v>344389.042103524</v>
      </c>
      <c r="E18" s="298">
        <f t="shared" si="0"/>
        <v>1103.81103238309</v>
      </c>
      <c r="F18" s="298">
        <v>1300</v>
      </c>
      <c r="G18" s="298">
        <f t="shared" si="1"/>
        <v>196.188967616911</v>
      </c>
    </row>
    <row r="19" spans="2:7">
      <c r="B19" s="209">
        <v>4</v>
      </c>
      <c r="C19" s="209">
        <v>2028</v>
      </c>
      <c r="D19" s="298">
        <f>+'V. Sit.Con Proyecto'!F58</f>
        <v>347761.817497952</v>
      </c>
      <c r="E19" s="298">
        <f t="shared" si="0"/>
        <v>1114.62120992933</v>
      </c>
      <c r="F19" s="298">
        <v>1300</v>
      </c>
      <c r="G19" s="298">
        <f t="shared" si="1"/>
        <v>185.378790070667</v>
      </c>
    </row>
    <row r="20" spans="2:7">
      <c r="B20" s="209">
        <v>5</v>
      </c>
      <c r="C20" s="209">
        <v>2029</v>
      </c>
      <c r="D20" s="298">
        <f>+'V. Sit.Con Proyecto'!F59</f>
        <v>350931.835774183</v>
      </c>
      <c r="E20" s="298">
        <f t="shared" si="0"/>
        <v>1124.78152491725</v>
      </c>
      <c r="F20" s="298">
        <v>1300</v>
      </c>
      <c r="G20" s="298">
        <f t="shared" si="1"/>
        <v>175.218475082747</v>
      </c>
    </row>
    <row r="21" spans="2:7">
      <c r="B21" s="209">
        <v>6</v>
      </c>
      <c r="C21" s="209">
        <v>2030</v>
      </c>
      <c r="D21" s="298">
        <f>+'V. Sit.Con Proyecto'!F60</f>
        <v>353930.696532697</v>
      </c>
      <c r="E21" s="298">
        <f t="shared" si="0"/>
        <v>1134.39325811762</v>
      </c>
      <c r="F21" s="298">
        <v>1300</v>
      </c>
      <c r="G21" s="298">
        <f t="shared" si="1"/>
        <v>165.606741882382</v>
      </c>
    </row>
    <row r="22" spans="2:7">
      <c r="B22" s="209">
        <v>7</v>
      </c>
      <c r="C22" s="209">
        <v>2031</v>
      </c>
      <c r="D22" s="298">
        <f>+'V. Sit.Con Proyecto'!F61</f>
        <v>356791.591926783</v>
      </c>
      <c r="E22" s="298">
        <f t="shared" si="0"/>
        <v>1143.56279463712</v>
      </c>
      <c r="F22" s="298">
        <v>1300</v>
      </c>
      <c r="G22" s="298">
        <f t="shared" si="1"/>
        <v>156.437205362875</v>
      </c>
    </row>
    <row r="23" spans="2:7">
      <c r="B23" s="209">
        <v>8</v>
      </c>
      <c r="C23" s="209">
        <v>2032</v>
      </c>
      <c r="D23" s="298">
        <f>+'V. Sit.Con Proyecto'!F62</f>
        <v>359544.361366973</v>
      </c>
      <c r="E23" s="298">
        <f t="shared" si="0"/>
        <v>1152.38577361209</v>
      </c>
      <c r="F23" s="298">
        <v>1300</v>
      </c>
      <c r="G23" s="298">
        <f t="shared" si="1"/>
        <v>147.614226387908</v>
      </c>
    </row>
    <row r="24" spans="2:7">
      <c r="B24" s="209">
        <v>9</v>
      </c>
      <c r="C24" s="209">
        <v>2033</v>
      </c>
      <c r="D24" s="298">
        <f>+'V. Sit.Con Proyecto'!F63</f>
        <v>362216.245888163</v>
      </c>
      <c r="E24" s="298">
        <f t="shared" si="0"/>
        <v>1160.9495060518</v>
      </c>
      <c r="F24" s="298">
        <v>1300</v>
      </c>
      <c r="G24" s="298">
        <f t="shared" si="1"/>
        <v>139.050493948195</v>
      </c>
    </row>
    <row r="25" spans="2:7">
      <c r="B25" s="209">
        <v>10</v>
      </c>
      <c r="C25" s="209">
        <v>2034</v>
      </c>
      <c r="D25" s="298">
        <f>+'V. Sit.Con Proyecto'!F64</f>
        <v>364832.558698165</v>
      </c>
      <c r="E25" s="298">
        <f t="shared" si="0"/>
        <v>1169.33512403258</v>
      </c>
      <c r="F25" s="298">
        <v>1300</v>
      </c>
      <c r="G25" s="298">
        <f t="shared" si="1"/>
        <v>130.664875967419</v>
      </c>
    </row>
    <row r="26" spans="2:7">
      <c r="B26" s="209">
        <v>11</v>
      </c>
      <c r="C26" s="209">
        <v>2035</v>
      </c>
      <c r="D26" s="298">
        <f>+'V. Sit.Con Proyecto'!F65</f>
        <v>367402.184565284</v>
      </c>
      <c r="E26" s="298">
        <f t="shared" si="0"/>
        <v>1177.57110437591</v>
      </c>
      <c r="F26" s="298">
        <v>1300</v>
      </c>
      <c r="G26" s="298">
        <f t="shared" si="1"/>
        <v>122.428895624091</v>
      </c>
    </row>
    <row r="27" spans="2:7">
      <c r="B27" s="209">
        <v>12</v>
      </c>
      <c r="C27" s="209">
        <v>2036</v>
      </c>
      <c r="D27" s="298">
        <f>+'V. Sit.Con Proyecto'!F66</f>
        <v>369929.901147946</v>
      </c>
      <c r="E27" s="298">
        <f t="shared" si="0"/>
        <v>1185.67276008957</v>
      </c>
      <c r="F27" s="298">
        <v>1300</v>
      </c>
      <c r="G27" s="298">
        <f t="shared" si="1"/>
        <v>114.327239910428</v>
      </c>
    </row>
    <row r="28" spans="2:7">
      <c r="B28" s="209">
        <v>13</v>
      </c>
      <c r="C28" s="209">
        <v>2037</v>
      </c>
      <c r="D28" s="298">
        <f>+'V. Sit.Con Proyecto'!F67</f>
        <v>372404.057665075</v>
      </c>
      <c r="E28" s="298">
        <f t="shared" si="0"/>
        <v>1193.60274892652</v>
      </c>
      <c r="F28" s="298">
        <v>1300</v>
      </c>
      <c r="G28" s="298">
        <f t="shared" si="1"/>
        <v>106.397251073478</v>
      </c>
    </row>
    <row r="29" spans="2:7">
      <c r="B29" s="209">
        <v>14</v>
      </c>
      <c r="C29" s="209">
        <v>2038</v>
      </c>
      <c r="D29" s="298">
        <f>+'V. Sit.Con Proyecto'!F68</f>
        <v>374796.910170359</v>
      </c>
      <c r="E29" s="298">
        <f t="shared" si="0"/>
        <v>1201.27214798192</v>
      </c>
      <c r="F29" s="298">
        <v>1300</v>
      </c>
      <c r="G29" s="298">
        <f t="shared" si="1"/>
        <v>98.7278520180801</v>
      </c>
    </row>
    <row r="30" spans="2:7">
      <c r="B30" s="209">
        <v>15</v>
      </c>
      <c r="C30" s="209">
        <v>2039</v>
      </c>
      <c r="D30" s="298">
        <f>+'V. Sit.Con Proyecto'!F69</f>
        <v>377072.332860598</v>
      </c>
      <c r="E30" s="298">
        <f t="shared" si="0"/>
        <v>1208.56516942499</v>
      </c>
      <c r="F30" s="298">
        <v>1300</v>
      </c>
      <c r="G30" s="298">
        <f t="shared" si="1"/>
        <v>91.4348305750059</v>
      </c>
    </row>
    <row r="31" spans="2:7">
      <c r="B31" s="209">
        <v>16</v>
      </c>
      <c r="C31" s="209">
        <v>2040</v>
      </c>
      <c r="D31" s="298">
        <f>+'V. Sit.Con Proyecto'!F70</f>
        <v>379193.948476885</v>
      </c>
      <c r="E31" s="298">
        <f t="shared" si="0"/>
        <v>1215.3652194772</v>
      </c>
      <c r="F31" s="298">
        <v>1300</v>
      </c>
      <c r="G31" s="298">
        <f t="shared" si="1"/>
        <v>84.6347805228049</v>
      </c>
    </row>
    <row r="32" spans="2:7">
      <c r="B32" s="209">
        <v>17</v>
      </c>
      <c r="C32" s="209">
        <v>2041</v>
      </c>
      <c r="D32" s="298">
        <f>+'V. Sit.Con Proyecto'!F71</f>
        <v>381130.325055877</v>
      </c>
      <c r="E32" s="298">
        <f t="shared" si="0"/>
        <v>1221.57155466627</v>
      </c>
      <c r="F32" s="298">
        <v>1300</v>
      </c>
      <c r="G32" s="298">
        <f t="shared" si="1"/>
        <v>78.428445333727</v>
      </c>
    </row>
    <row r="33" spans="2:7">
      <c r="B33" s="209">
        <v>18</v>
      </c>
      <c r="C33" s="209">
        <v>2042</v>
      </c>
      <c r="D33" s="298">
        <f>+'V. Sit.Con Proyecto'!F72</f>
        <v>382871.404369306</v>
      </c>
      <c r="E33" s="298">
        <f t="shared" si="0"/>
        <v>1227.15193708111</v>
      </c>
      <c r="F33" s="298">
        <v>1300</v>
      </c>
      <c r="G33" s="298">
        <f t="shared" si="1"/>
        <v>72.8480629188909</v>
      </c>
    </row>
    <row r="34" spans="2:7">
      <c r="B34" s="209">
        <v>19</v>
      </c>
      <c r="C34" s="209">
        <v>2043</v>
      </c>
      <c r="D34" s="298">
        <f>+'V. Sit.Con Proyecto'!F73</f>
        <v>384416.432050051</v>
      </c>
      <c r="E34" s="298">
        <f t="shared" si="0"/>
        <v>1232.10394887837</v>
      </c>
      <c r="F34" s="298">
        <v>1300</v>
      </c>
      <c r="G34" s="298">
        <f t="shared" si="1"/>
        <v>67.8960511216319</v>
      </c>
    </row>
    <row r="35" spans="2:7">
      <c r="B35" s="209">
        <v>20</v>
      </c>
      <c r="C35" s="209">
        <v>2044</v>
      </c>
      <c r="D35" s="298">
        <f>+'V. Sit.Con Proyecto'!F74</f>
        <v>385782.926179014</v>
      </c>
      <c r="E35" s="298">
        <f t="shared" si="0"/>
        <v>1236.48373775325</v>
      </c>
      <c r="F35" s="298">
        <v>1300</v>
      </c>
      <c r="G35" s="298">
        <f t="shared" si="1"/>
        <v>63.5162622467494</v>
      </c>
    </row>
    <row r="36" spans="2:7">
      <c r="B36" s="209">
        <v>21</v>
      </c>
      <c r="C36" s="209">
        <v>2045</v>
      </c>
      <c r="D36" s="298">
        <f>+'V. Sit.Con Proyecto'!F75</f>
        <v>386986.560828583</v>
      </c>
      <c r="E36" s="298">
        <f t="shared" si="0"/>
        <v>1240.34154111725</v>
      </c>
      <c r="F36" s="298">
        <v>1300</v>
      </c>
      <c r="G36" s="298">
        <f t="shared" si="1"/>
        <v>59.6584588827479</v>
      </c>
    </row>
    <row r="37" spans="2:7">
      <c r="B37" s="209">
        <v>22</v>
      </c>
      <c r="C37" s="209">
        <v>2046</v>
      </c>
      <c r="D37" s="298">
        <f>+'V. Sit.Con Proyecto'!F76</f>
        <v>388050.972835189</v>
      </c>
      <c r="E37" s="298">
        <f t="shared" si="0"/>
        <v>1243.7531180615</v>
      </c>
      <c r="F37" s="298">
        <v>1300</v>
      </c>
      <c r="G37" s="298">
        <f t="shared" si="1"/>
        <v>56.2468819384962</v>
      </c>
    </row>
    <row r="38" spans="2:7">
      <c r="B38" s="209">
        <v>23</v>
      </c>
      <c r="C38" s="209">
        <v>2047</v>
      </c>
      <c r="D38" s="298">
        <f>+'V. Sit.Con Proyecto'!F77</f>
        <v>388999.379942422</v>
      </c>
      <c r="E38" s="298">
        <f t="shared" si="0"/>
        <v>1246.79288443084</v>
      </c>
      <c r="F38" s="298">
        <v>1300</v>
      </c>
      <c r="G38" s="298">
        <f t="shared" si="1"/>
        <v>53.2071155691592</v>
      </c>
    </row>
    <row r="39" spans="2:7">
      <c r="B39" s="209">
        <v>24</v>
      </c>
      <c r="C39" s="209">
        <v>2048</v>
      </c>
      <c r="D39" s="298">
        <f>+'V. Sit.Con Proyecto'!F78</f>
        <v>389852.820611079</v>
      </c>
      <c r="E39" s="298">
        <f t="shared" si="0"/>
        <v>1249.52827118936</v>
      </c>
      <c r="F39" s="298">
        <v>1300</v>
      </c>
      <c r="G39" s="298">
        <f t="shared" si="1"/>
        <v>50.4717288106447</v>
      </c>
    </row>
    <row r="40" spans="2:7">
      <c r="B40" s="209">
        <v>25</v>
      </c>
      <c r="C40" s="209">
        <v>2049</v>
      </c>
      <c r="D40" s="298">
        <f>+'V. Sit.Con Proyecto'!F79</f>
        <v>390626.046909287</v>
      </c>
      <c r="E40" s="298">
        <f t="shared" si="0"/>
        <v>1252.00656060669</v>
      </c>
      <c r="F40" s="298">
        <v>1300</v>
      </c>
      <c r="G40" s="298">
        <f t="shared" si="1"/>
        <v>47.9934393933111</v>
      </c>
    </row>
    <row r="41" spans="2:7">
      <c r="B41" s="209">
        <v>26</v>
      </c>
      <c r="C41" s="209">
        <v>2050</v>
      </c>
      <c r="D41" s="298">
        <f>+'V. Sit.Con Proyecto'!F80</f>
        <v>391328.278879627</v>
      </c>
      <c r="E41" s="298">
        <f t="shared" si="0"/>
        <v>1254.25730410137</v>
      </c>
      <c r="F41" s="298">
        <v>1300</v>
      </c>
      <c r="G41" s="298">
        <f t="shared" si="1"/>
        <v>45.7426958986309</v>
      </c>
    </row>
    <row r="42" spans="2:7">
      <c r="B42" s="209">
        <v>27</v>
      </c>
      <c r="C42" s="209">
        <v>2051</v>
      </c>
      <c r="D42" s="298">
        <f>+'V. Sit.Con Proyecto'!F81</f>
        <v>391958.67833641</v>
      </c>
      <c r="E42" s="298">
        <f t="shared" si="0"/>
        <v>1256.2778151808</v>
      </c>
      <c r="F42" s="298">
        <v>1300</v>
      </c>
      <c r="G42" s="298">
        <f t="shared" si="1"/>
        <v>43.722184819198</v>
      </c>
    </row>
    <row r="43" spans="2:7">
      <c r="B43" s="209">
        <v>28</v>
      </c>
      <c r="C43" s="209">
        <v>2052</v>
      </c>
      <c r="D43" s="298">
        <f>+'V. Sit.Con Proyecto'!F82</f>
        <v>392510.875068399</v>
      </c>
      <c r="E43" s="298">
        <f t="shared" si="0"/>
        <v>1258.04767650128</v>
      </c>
      <c r="F43" s="298">
        <v>1300</v>
      </c>
      <c r="G43" s="298">
        <f t="shared" si="1"/>
        <v>41.9523234987214</v>
      </c>
    </row>
    <row r="44" spans="2:7">
      <c r="B44" s="209">
        <v>29</v>
      </c>
      <c r="C44" s="209">
        <v>2053</v>
      </c>
      <c r="D44" s="298">
        <f>+'V. Sit.Con Proyecto'!F83</f>
        <v>392967.099538984</v>
      </c>
      <c r="E44" s="298">
        <f t="shared" si="0"/>
        <v>1259.50993441982</v>
      </c>
      <c r="F44" s="298">
        <v>1300</v>
      </c>
      <c r="G44" s="298">
        <f t="shared" si="1"/>
        <v>40.4900655801798</v>
      </c>
    </row>
    <row r="45" spans="2:7">
      <c r="B45" s="209">
        <v>30</v>
      </c>
      <c r="C45" s="209">
        <v>2054</v>
      </c>
      <c r="D45" s="298">
        <f>+'V. Sit.Con Proyecto'!F84</f>
        <v>393304.301641715</v>
      </c>
      <c r="E45" s="298">
        <f t="shared" si="0"/>
        <v>1260.59071039011</v>
      </c>
      <c r="F45" s="298">
        <v>1300</v>
      </c>
      <c r="G45" s="298">
        <f t="shared" si="1"/>
        <v>39.4092896098887</v>
      </c>
    </row>
    <row r="46" spans="2:7">
      <c r="B46" s="209">
        <v>31</v>
      </c>
      <c r="C46" s="209">
        <v>2055</v>
      </c>
      <c r="D46" s="298">
        <f>+'V. Sit.Con Proyecto'!F85</f>
        <v>393501.610552932</v>
      </c>
      <c r="E46" s="298">
        <f t="shared" si="0"/>
        <v>1261.22311074658</v>
      </c>
      <c r="F46" s="298">
        <v>1300</v>
      </c>
      <c r="G46" s="298">
        <f t="shared" si="1"/>
        <v>38.7768892534223</v>
      </c>
    </row>
    <row r="47" spans="2:7">
      <c r="B47" s="209">
        <v>32</v>
      </c>
      <c r="C47" s="209">
        <v>2056</v>
      </c>
      <c r="D47" s="298">
        <f>+'V. Sit.Con Proyecto'!F86</f>
        <v>393546.956398713</v>
      </c>
      <c r="E47" s="298">
        <f t="shared" si="0"/>
        <v>1261.36844999588</v>
      </c>
      <c r="F47" s="298">
        <v>1300</v>
      </c>
      <c r="G47" s="298">
        <f t="shared" si="1"/>
        <v>38.6315500041237</v>
      </c>
    </row>
    <row r="48" spans="2:7">
      <c r="B48" s="209">
        <v>33</v>
      </c>
      <c r="C48" s="209">
        <v>2057</v>
      </c>
      <c r="D48" s="298">
        <f>+'V. Sit.Con Proyecto'!F87</f>
        <v>393433.633693545</v>
      </c>
      <c r="E48" s="298">
        <f t="shared" si="0"/>
        <v>1261.00523619726</v>
      </c>
      <c r="F48" s="298">
        <v>1300</v>
      </c>
      <c r="G48" s="298">
        <f t="shared" si="1"/>
        <v>38.99476380274</v>
      </c>
    </row>
    <row r="49" spans="2:7">
      <c r="B49" s="209">
        <v>34</v>
      </c>
      <c r="C49" s="209">
        <v>2058</v>
      </c>
      <c r="D49" s="298">
        <f>+'V. Sit.Con Proyecto'!F88</f>
        <v>393165.581910166</v>
      </c>
      <c r="E49" s="298">
        <f t="shared" si="0"/>
        <v>1260.14609586592</v>
      </c>
      <c r="F49" s="298">
        <v>1300</v>
      </c>
      <c r="G49" s="298">
        <f t="shared" si="1"/>
        <v>39.8539041340823</v>
      </c>
    </row>
    <row r="50" spans="2:7">
      <c r="B50" s="209">
        <v>35</v>
      </c>
      <c r="C50" s="209">
        <v>2059</v>
      </c>
      <c r="D50" s="298">
        <f>+'V. Sit.Con Proyecto'!F89</f>
        <v>392753.697462535</v>
      </c>
      <c r="E50" s="298">
        <f t="shared" si="0"/>
        <v>1258.82595340556</v>
      </c>
      <c r="F50" s="298">
        <v>1300</v>
      </c>
      <c r="G50" s="298">
        <f t="shared" si="1"/>
        <v>41.1740465944381</v>
      </c>
    </row>
    <row r="51" spans="2:7">
      <c r="B51" s="209">
        <v>36</v>
      </c>
      <c r="C51" s="209">
        <v>2060</v>
      </c>
      <c r="D51" s="298">
        <f>+'V. Sit.Con Proyecto'!F90</f>
        <v>392214.073515884</v>
      </c>
      <c r="E51" s="298">
        <f t="shared" si="0"/>
        <v>1257.09638947399</v>
      </c>
      <c r="F51" s="298">
        <v>1300</v>
      </c>
      <c r="G51" s="298">
        <f t="shared" si="1"/>
        <v>42.9036105260143</v>
      </c>
    </row>
    <row r="52" spans="2:7">
      <c r="B52" s="209">
        <v>37</v>
      </c>
      <c r="C52" s="209">
        <v>2061</v>
      </c>
      <c r="D52" s="298">
        <f>+'V. Sit.Con Proyecto'!F91</f>
        <v>391560.540134081</v>
      </c>
      <c r="E52" s="298">
        <f t="shared" si="0"/>
        <v>1255.00173119898</v>
      </c>
      <c r="F52" s="298">
        <v>1300</v>
      </c>
      <c r="G52" s="298">
        <f t="shared" si="1"/>
        <v>44.998268801023</v>
      </c>
    </row>
    <row r="53" spans="2:7">
      <c r="B53" s="209">
        <v>38</v>
      </c>
      <c r="C53" s="209">
        <v>2062</v>
      </c>
      <c r="D53" s="298">
        <f>+'V. Sit.Con Proyecto'!F92</f>
        <v>390809.525756634</v>
      </c>
      <c r="E53" s="298">
        <f t="shared" si="0"/>
        <v>1252.59463383537</v>
      </c>
      <c r="F53" s="298">
        <v>1300</v>
      </c>
      <c r="G53" s="298">
        <f t="shared" si="1"/>
        <v>47.405366164634</v>
      </c>
    </row>
    <row r="54" spans="2:7">
      <c r="B54" s="209">
        <v>39</v>
      </c>
      <c r="C54" s="209">
        <v>2063</v>
      </c>
      <c r="D54" s="298">
        <f>+'V. Sit.Con Proyecto'!F93</f>
        <v>389978.967557291</v>
      </c>
      <c r="E54" s="298">
        <f t="shared" si="0"/>
        <v>1249.93258832465</v>
      </c>
      <c r="F54" s="298">
        <v>1300</v>
      </c>
      <c r="G54" s="298">
        <f t="shared" si="1"/>
        <v>50.0674116753503</v>
      </c>
    </row>
    <row r="55" spans="2:2">
      <c r="B55" t="s">
        <v>392</v>
      </c>
    </row>
  </sheetData>
  <mergeCells count="3">
    <mergeCell ref="B2:U2"/>
    <mergeCell ref="B4:U4"/>
    <mergeCell ref="B7:D7"/>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499984740745262"/>
  </sheetPr>
  <dimension ref="A2:V300"/>
  <sheetViews>
    <sheetView zoomScale="120" zoomScaleNormal="120" topLeftCell="A224" workbookViewId="0">
      <selection activeCell="G255" sqref="G255:H255"/>
    </sheetView>
  </sheetViews>
  <sheetFormatPr defaultColWidth="11.552380952381" defaultRowHeight="12"/>
  <cols>
    <col min="1" max="1" width="3.43809523809524" style="383" customWidth="1"/>
    <col min="2" max="2" width="5.33333333333333" style="383" customWidth="1"/>
    <col min="3" max="3" width="16.6666666666667" style="383" customWidth="1"/>
    <col min="4" max="4" width="18" style="383" customWidth="1"/>
    <col min="5" max="6" width="17.3333333333333" style="383" customWidth="1"/>
    <col min="7" max="7" width="15.6666666666667" style="383" customWidth="1"/>
    <col min="8" max="8" width="17.3333333333333" style="383" customWidth="1"/>
    <col min="9" max="9" width="20" style="383" customWidth="1"/>
    <col min="10" max="10" width="15.6666666666667" style="383" customWidth="1"/>
    <col min="11" max="11" width="19.3333333333333" style="383" customWidth="1"/>
    <col min="12" max="12" width="15.6666666666667" style="383" customWidth="1"/>
    <col min="13" max="13" width="17" style="383" customWidth="1"/>
    <col min="14" max="14" width="15.6666666666667" style="383" customWidth="1"/>
    <col min="15" max="15" width="19.6666666666667" style="383" customWidth="1"/>
    <col min="16" max="16" width="14.8857142857143" style="383" customWidth="1"/>
    <col min="17" max="17" width="11.552380952381" style="383"/>
    <col min="18" max="18" width="22.1047619047619" style="383" customWidth="1"/>
    <col min="19" max="19" width="17" style="383" customWidth="1"/>
    <col min="20" max="21" width="12" style="383" customWidth="1"/>
    <col min="22" max="16384" width="11.552380952381" style="383"/>
  </cols>
  <sheetData>
    <row r="2" ht="21" spans="2:16">
      <c r="B2" s="2" t="s">
        <v>0</v>
      </c>
      <c r="C2" s="2"/>
      <c r="D2" s="2"/>
      <c r="E2" s="2"/>
      <c r="F2" s="2"/>
      <c r="G2" s="2"/>
      <c r="H2" s="2"/>
      <c r="I2" s="2"/>
      <c r="J2" s="2"/>
      <c r="K2" s="2"/>
      <c r="L2" s="2"/>
      <c r="M2" s="2"/>
      <c r="N2" s="2"/>
      <c r="O2" s="2"/>
      <c r="P2" s="2"/>
    </row>
    <row r="3" spans="1:13">
      <c r="A3" s="396"/>
      <c r="B3" s="343"/>
      <c r="C3" s="343"/>
      <c r="D3" s="343"/>
      <c r="E3" s="343"/>
      <c r="F3" s="343"/>
      <c r="G3" s="343"/>
      <c r="H3" s="343"/>
      <c r="I3" s="343"/>
      <c r="J3" s="343"/>
      <c r="K3" s="343"/>
      <c r="L3" s="343"/>
      <c r="M3" s="382"/>
    </row>
    <row r="4" ht="15" spans="1:16">
      <c r="A4" s="396"/>
      <c r="B4" s="344" t="s">
        <v>778</v>
      </c>
      <c r="C4" s="344"/>
      <c r="D4" s="344"/>
      <c r="E4" s="344"/>
      <c r="F4" s="344"/>
      <c r="G4" s="344"/>
      <c r="H4" s="344"/>
      <c r="I4" s="344"/>
      <c r="J4" s="344"/>
      <c r="K4" s="344"/>
      <c r="L4" s="344"/>
      <c r="M4" s="344"/>
      <c r="N4" s="344"/>
      <c r="O4" s="344"/>
      <c r="P4" s="344"/>
    </row>
    <row r="5" s="80" customFormat="1" ht="12.75" spans="1:13">
      <c r="A5" s="397"/>
      <c r="B5" s="398"/>
      <c r="C5" s="398"/>
      <c r="D5" s="398"/>
      <c r="E5" s="398"/>
      <c r="F5" s="398"/>
      <c r="G5" s="398"/>
      <c r="H5" s="398"/>
      <c r="I5" s="398"/>
      <c r="J5" s="398"/>
      <c r="K5" s="398"/>
      <c r="L5" s="398"/>
      <c r="M5" s="398"/>
    </row>
    <row r="6" s="80" customFormat="1" ht="12.75" spans="1:13">
      <c r="A6" s="397"/>
      <c r="B6" s="399" t="s">
        <v>779</v>
      </c>
      <c r="C6" s="400"/>
      <c r="D6" s="400"/>
      <c r="E6" s="400"/>
      <c r="F6" s="399" t="s">
        <v>780</v>
      </c>
      <c r="G6" s="400"/>
      <c r="H6" s="400"/>
      <c r="I6" s="400"/>
      <c r="J6" s="400"/>
      <c r="K6" s="400"/>
      <c r="L6" s="400"/>
      <c r="M6" s="400"/>
    </row>
    <row r="7" s="80" customFormat="1" ht="25.5" spans="1:16">
      <c r="A7" s="397"/>
      <c r="B7" s="401" t="s">
        <v>474</v>
      </c>
      <c r="C7" s="155" t="s">
        <v>781</v>
      </c>
      <c r="D7" s="155" t="s">
        <v>782</v>
      </c>
      <c r="E7" s="397"/>
      <c r="F7" s="402" t="s">
        <v>474</v>
      </c>
      <c r="G7" s="155" t="s">
        <v>781</v>
      </c>
      <c r="H7" s="155" t="s">
        <v>783</v>
      </c>
      <c r="I7" s="155" t="s">
        <v>784</v>
      </c>
      <c r="J7" s="397"/>
      <c r="K7" s="397"/>
      <c r="L7" s="397"/>
      <c r="M7" s="397"/>
      <c r="N7" s="397"/>
      <c r="O7" s="397"/>
      <c r="P7" s="397"/>
    </row>
    <row r="8" s="80" customFormat="1" ht="12.75" spans="1:14">
      <c r="A8" s="397"/>
      <c r="B8" s="403">
        <v>1</v>
      </c>
      <c r="C8" s="404" t="s">
        <v>282</v>
      </c>
      <c r="D8" s="405">
        <v>2800</v>
      </c>
      <c r="E8" s="397"/>
      <c r="F8" s="406">
        <v>1</v>
      </c>
      <c r="G8" s="404" t="s">
        <v>282</v>
      </c>
      <c r="H8" s="407">
        <f>+'II. Caracterizacion RSU'!C13</f>
        <v>0.0858</v>
      </c>
      <c r="I8" s="407">
        <f>+'II. Caracterizacion RSU'!F99</f>
        <v>0.0308070800930064</v>
      </c>
      <c r="J8" s="441"/>
      <c r="K8" s="397"/>
      <c r="L8" s="397"/>
      <c r="M8" s="397"/>
      <c r="N8" s="397"/>
    </row>
    <row r="9" s="80" customFormat="1" ht="12.75" spans="1:14">
      <c r="A9" s="397"/>
      <c r="B9" s="403">
        <v>2</v>
      </c>
      <c r="C9" s="404" t="s">
        <v>785</v>
      </c>
      <c r="D9" s="405">
        <v>20000</v>
      </c>
      <c r="E9" s="397"/>
      <c r="F9" s="406">
        <v>2</v>
      </c>
      <c r="G9" s="404" t="s">
        <v>785</v>
      </c>
      <c r="H9" s="407">
        <f>+'II. Caracterizacion RSU'!C21</f>
        <v>0.006</v>
      </c>
      <c r="I9" s="407">
        <f>+'II. Caracterizacion RSU'!F106</f>
        <v>0.00580014956027555</v>
      </c>
      <c r="J9" s="441"/>
      <c r="K9" s="425"/>
      <c r="L9" s="397"/>
      <c r="M9" s="397"/>
      <c r="N9" s="397"/>
    </row>
    <row r="10" s="80" customFormat="1" ht="12.75" spans="1:14">
      <c r="A10" s="397"/>
      <c r="B10" s="403">
        <v>3</v>
      </c>
      <c r="C10" s="404" t="s">
        <v>220</v>
      </c>
      <c r="D10" s="405">
        <v>1300</v>
      </c>
      <c r="E10" s="397"/>
      <c r="F10" s="406">
        <v>3</v>
      </c>
      <c r="G10" s="404" t="s">
        <v>220</v>
      </c>
      <c r="H10" s="407">
        <f>+'II. Caracterizacion RSU'!C12</f>
        <v>0.0418</v>
      </c>
      <c r="I10" s="407">
        <f>+'II. Caracterizacion RSU'!F98</f>
        <v>0.0150085774812083</v>
      </c>
      <c r="J10" s="441"/>
      <c r="K10" s="397"/>
      <c r="L10" s="397"/>
      <c r="M10" s="397"/>
      <c r="N10" s="397"/>
    </row>
    <row r="11" s="80" customFormat="1" ht="12.75" spans="1:14">
      <c r="A11" s="397"/>
      <c r="B11" s="403">
        <v>4</v>
      </c>
      <c r="C11" s="404" t="s">
        <v>288</v>
      </c>
      <c r="D11" s="405">
        <v>4000</v>
      </c>
      <c r="E11" s="397"/>
      <c r="F11" s="406">
        <v>4</v>
      </c>
      <c r="G11" s="404" t="s">
        <v>288</v>
      </c>
      <c r="H11" s="407">
        <f>+'II. Caracterizacion RSU'!C18</f>
        <v>0.0667</v>
      </c>
      <c r="I11" s="407">
        <f>+'II. Caracterizacion RSU'!F103</f>
        <v>0.0460559494845689</v>
      </c>
      <c r="J11" s="441"/>
      <c r="K11" s="397"/>
      <c r="L11" s="397"/>
      <c r="M11" s="397"/>
      <c r="N11" s="397"/>
    </row>
    <row r="12" s="80" customFormat="1" ht="12.75" spans="1:14">
      <c r="A12" s="397"/>
      <c r="B12" s="403">
        <v>5</v>
      </c>
      <c r="C12" s="404" t="s">
        <v>285</v>
      </c>
      <c r="D12" s="405">
        <v>5000</v>
      </c>
      <c r="E12" s="397"/>
      <c r="F12" s="406">
        <v>5</v>
      </c>
      <c r="G12" s="404" t="s">
        <v>285</v>
      </c>
      <c r="H12" s="407">
        <f>+'II. Caracterizacion RSU'!C16</f>
        <v>0.0707</v>
      </c>
      <c r="I12" s="407">
        <f>+'II. Caracterizacion RSU'!F101</f>
        <v>0.0278959574089443</v>
      </c>
      <c r="J12" s="441"/>
      <c r="K12" s="397"/>
      <c r="L12" s="442"/>
      <c r="M12" s="397"/>
      <c r="N12" s="397"/>
    </row>
    <row r="13" s="80" customFormat="1" ht="12.75" spans="1:14">
      <c r="A13" s="397"/>
      <c r="B13" s="403">
        <v>6</v>
      </c>
      <c r="C13" s="404" t="s">
        <v>290</v>
      </c>
      <c r="D13" s="405">
        <v>950</v>
      </c>
      <c r="E13" s="397"/>
      <c r="F13" s="406">
        <v>6</v>
      </c>
      <c r="G13" s="404" t="s">
        <v>290</v>
      </c>
      <c r="H13" s="407">
        <f>+'II. Caracterizacion RSU'!C20+'II. Caracterizacion RSU'!C19</f>
        <v>0.042</v>
      </c>
      <c r="I13" s="407">
        <f>+'II. Caracterizacion RSU'!F105+'II. Caracterizacion RSU'!F104</f>
        <v>0.0310722297871904</v>
      </c>
      <c r="J13" s="441"/>
      <c r="K13" s="397"/>
      <c r="L13" s="397"/>
      <c r="M13" s="397"/>
      <c r="N13" s="397"/>
    </row>
    <row r="14" s="80" customFormat="1" ht="12.75" spans="1:14">
      <c r="A14" s="397"/>
      <c r="B14" s="408">
        <v>7</v>
      </c>
      <c r="C14" s="404" t="s">
        <v>786</v>
      </c>
      <c r="D14" s="405">
        <v>3000</v>
      </c>
      <c r="E14" s="397"/>
      <c r="F14" s="406">
        <v>7</v>
      </c>
      <c r="G14" s="404" t="s">
        <v>287</v>
      </c>
      <c r="H14" s="407">
        <f>+'II. Caracterizacion RSU'!C17</f>
        <v>0.097</v>
      </c>
      <c r="I14" s="407">
        <f>+'II. Caracterizacion RSU'!F102</f>
        <v>0.0382730957378727</v>
      </c>
      <c r="J14" s="441"/>
      <c r="K14" s="397"/>
      <c r="L14" s="397"/>
      <c r="M14" s="397"/>
      <c r="N14" s="397"/>
    </row>
    <row r="15" s="80" customFormat="1" ht="12.75" spans="1:14">
      <c r="A15" s="397"/>
      <c r="B15" s="403">
        <v>8</v>
      </c>
      <c r="C15" s="404" t="s">
        <v>296</v>
      </c>
      <c r="D15" s="405">
        <v>2000</v>
      </c>
      <c r="E15" s="397"/>
      <c r="F15" s="406">
        <v>8</v>
      </c>
      <c r="G15" s="404" t="s">
        <v>296</v>
      </c>
      <c r="H15" s="409">
        <f>+'II. Caracterizacion RSU'!C24</f>
        <v>0.0016</v>
      </c>
      <c r="I15" s="407">
        <f>+'II. Caracterizacion RSU'!F109</f>
        <v>0.000946963193514375</v>
      </c>
      <c r="J15" s="441"/>
      <c r="K15" s="397"/>
      <c r="L15" s="397"/>
      <c r="M15" s="397"/>
      <c r="N15" s="397"/>
    </row>
    <row r="16" s="80" customFormat="1" ht="12.75" spans="1:14">
      <c r="A16" s="397"/>
      <c r="B16" s="403">
        <v>9</v>
      </c>
      <c r="C16" s="404" t="s">
        <v>787</v>
      </c>
      <c r="D16" s="405">
        <v>2000</v>
      </c>
      <c r="E16" s="397"/>
      <c r="F16" s="406">
        <v>9</v>
      </c>
      <c r="G16" s="404" t="s">
        <v>787</v>
      </c>
      <c r="H16" s="407">
        <f>+'II. Caracterizacion RSU'!C15</f>
        <v>0.014</v>
      </c>
      <c r="I16" s="407">
        <f>+'II. Caracterizacion RSU'!F100</f>
        <v>0.00502679628557214</v>
      </c>
      <c r="J16" s="441"/>
      <c r="K16" s="397"/>
      <c r="L16" s="397"/>
      <c r="M16" s="397"/>
      <c r="N16" s="397"/>
    </row>
    <row r="17" s="80" customFormat="1" ht="12.75" spans="1:16">
      <c r="A17" s="397"/>
      <c r="B17" s="403">
        <v>10</v>
      </c>
      <c r="C17" s="404" t="s">
        <v>294</v>
      </c>
      <c r="D17" s="405">
        <v>1300</v>
      </c>
      <c r="E17" s="397"/>
      <c r="F17" s="406">
        <v>10</v>
      </c>
      <c r="G17" s="404" t="s">
        <v>294</v>
      </c>
      <c r="H17" s="407">
        <f>+'II. Caracterizacion RSU'!C22</f>
        <v>0.0137</v>
      </c>
      <c r="I17" s="407">
        <f>+'II. Caracterizacion RSU'!F107</f>
        <v>0.0128382562120725</v>
      </c>
      <c r="J17" s="441"/>
      <c r="K17" s="397"/>
      <c r="L17" s="397"/>
      <c r="M17" s="397"/>
      <c r="N17" s="397"/>
      <c r="O17" s="397"/>
      <c r="P17" s="397"/>
    </row>
    <row r="18" s="80" customFormat="1" ht="12.75" spans="1:16">
      <c r="A18" s="397"/>
      <c r="B18" s="397" t="s">
        <v>788</v>
      </c>
      <c r="C18" s="410"/>
      <c r="D18" s="411"/>
      <c r="E18" s="397"/>
      <c r="F18" s="412" t="s">
        <v>789</v>
      </c>
      <c r="G18" s="412"/>
      <c r="H18" s="412"/>
      <c r="I18" s="412"/>
      <c r="J18" s="413"/>
      <c r="K18" s="397"/>
      <c r="L18" s="397"/>
      <c r="M18" s="397"/>
      <c r="N18" s="397"/>
      <c r="O18" s="397"/>
      <c r="P18" s="397"/>
    </row>
    <row r="19" s="80" customFormat="1" ht="12.75" spans="1:16">
      <c r="A19" s="397"/>
      <c r="B19" s="412" t="s">
        <v>789</v>
      </c>
      <c r="C19" s="412"/>
      <c r="D19" s="412"/>
      <c r="E19" s="412"/>
      <c r="G19" s="413"/>
      <c r="H19" s="414"/>
      <c r="I19" s="443">
        <f>SUM(I8:I17)</f>
        <v>0.213725055244226</v>
      </c>
      <c r="J19" s="413"/>
      <c r="K19" s="397"/>
      <c r="L19" s="397"/>
      <c r="M19" s="397"/>
      <c r="N19" s="397"/>
      <c r="O19" s="397"/>
      <c r="P19" s="397"/>
    </row>
    <row r="20" s="80" customFormat="1" ht="12.75" spans="1:16">
      <c r="A20" s="397"/>
      <c r="B20" s="412"/>
      <c r="C20" s="412"/>
      <c r="D20" s="412"/>
      <c r="E20" s="412"/>
      <c r="G20" s="413"/>
      <c r="H20" s="414"/>
      <c r="I20" s="414"/>
      <c r="J20" s="413"/>
      <c r="K20" s="397"/>
      <c r="L20" s="397"/>
      <c r="M20" s="397"/>
      <c r="N20" s="397"/>
      <c r="O20" s="397"/>
      <c r="P20" s="397"/>
    </row>
    <row r="21" s="80" customFormat="1" ht="12.75" spans="1:16">
      <c r="A21" s="397"/>
      <c r="B21" s="399" t="s">
        <v>790</v>
      </c>
      <c r="C21" s="410"/>
      <c r="D21" s="411"/>
      <c r="E21" s="411"/>
      <c r="F21" s="411"/>
      <c r="G21" s="413"/>
      <c r="H21" s="414"/>
      <c r="I21" s="414"/>
      <c r="J21" s="413"/>
      <c r="K21" s="397"/>
      <c r="L21" s="397"/>
      <c r="M21" s="397"/>
      <c r="N21" s="397"/>
      <c r="O21" s="397"/>
      <c r="P21" s="397"/>
    </row>
    <row r="22" s="80" customFormat="1" ht="32.7" customHeight="1" spans="1:15">
      <c r="A22" s="397"/>
      <c r="B22" s="415" t="s">
        <v>467</v>
      </c>
      <c r="C22" s="415" t="s">
        <v>200</v>
      </c>
      <c r="D22" s="415" t="s">
        <v>791</v>
      </c>
      <c r="E22" s="415" t="s">
        <v>282</v>
      </c>
      <c r="F22" s="415" t="s">
        <v>785</v>
      </c>
      <c r="G22" s="415" t="s">
        <v>220</v>
      </c>
      <c r="H22" s="415" t="s">
        <v>288</v>
      </c>
      <c r="I22" s="415" t="s">
        <v>285</v>
      </c>
      <c r="J22" s="415" t="s">
        <v>290</v>
      </c>
      <c r="K22" s="415" t="s">
        <v>792</v>
      </c>
      <c r="L22" s="415" t="s">
        <v>787</v>
      </c>
      <c r="M22" s="415" t="s">
        <v>296</v>
      </c>
      <c r="N22" s="415" t="s">
        <v>294</v>
      </c>
      <c r="O22" s="415" t="s">
        <v>170</v>
      </c>
    </row>
    <row r="23" s="80" customFormat="1" ht="12.75" spans="1:15">
      <c r="A23" s="397"/>
      <c r="B23" s="416">
        <v>0</v>
      </c>
      <c r="C23" s="417">
        <v>2024</v>
      </c>
      <c r="D23" s="418">
        <f>(+'III. Sit. Actual O-D'!U13)</f>
        <v>424566.972770869</v>
      </c>
      <c r="E23" s="419">
        <v>0</v>
      </c>
      <c r="F23" s="420">
        <v>0</v>
      </c>
      <c r="G23" s="420">
        <v>0</v>
      </c>
      <c r="H23" s="420">
        <v>0</v>
      </c>
      <c r="I23" s="420">
        <v>0</v>
      </c>
      <c r="J23" s="444">
        <v>0</v>
      </c>
      <c r="K23" s="420">
        <v>0</v>
      </c>
      <c r="L23" s="420">
        <v>0</v>
      </c>
      <c r="M23" s="420">
        <v>0</v>
      </c>
      <c r="N23" s="420">
        <v>0</v>
      </c>
      <c r="O23" s="445">
        <f>+SUM(E23:K23)</f>
        <v>0</v>
      </c>
    </row>
    <row r="24" s="80" customFormat="1" ht="12.75" spans="1:15">
      <c r="A24" s="421"/>
      <c r="B24" s="422">
        <v>1</v>
      </c>
      <c r="C24" s="423">
        <f>C23+1</f>
        <v>2025</v>
      </c>
      <c r="D24" s="418">
        <f>(+'III. Sit. Actual O-D'!U14)</f>
        <v>429674.887692447</v>
      </c>
      <c r="E24" s="424">
        <v>0</v>
      </c>
      <c r="F24" s="424">
        <v>0</v>
      </c>
      <c r="G24" s="424">
        <v>0</v>
      </c>
      <c r="H24" s="424">
        <v>0</v>
      </c>
      <c r="I24" s="424">
        <v>0</v>
      </c>
      <c r="J24" s="424">
        <v>0</v>
      </c>
      <c r="K24" s="424">
        <v>0</v>
      </c>
      <c r="L24" s="424">
        <v>0</v>
      </c>
      <c r="M24" s="424">
        <v>0</v>
      </c>
      <c r="N24" s="424">
        <v>0</v>
      </c>
      <c r="O24" s="446">
        <v>0</v>
      </c>
    </row>
    <row r="25" s="80" customFormat="1" ht="12.75" spans="1:15">
      <c r="A25" s="425"/>
      <c r="B25" s="422">
        <v>2</v>
      </c>
      <c r="C25" s="423">
        <f t="shared" ref="C25:C62" si="0">C24+1</f>
        <v>2026</v>
      </c>
      <c r="D25" s="418">
        <f>(+'III. Sit. Actual O-D'!U15)</f>
        <v>434534.535334391</v>
      </c>
      <c r="E25" s="426">
        <f t="shared" ref="E25:E62" si="1">(+D25*$D$8*$I$8)</f>
        <v>37482872.6530269</v>
      </c>
      <c r="F25" s="427">
        <f t="shared" ref="F25:F62" si="2">(+$D$9*D25*$I$9)</f>
        <v>50407305.8808861</v>
      </c>
      <c r="G25" s="427">
        <f t="shared" ref="G25:G62" si="3">(+$D$10*$I$10*D25)</f>
        <v>8478268.81437514</v>
      </c>
      <c r="H25" s="427">
        <f t="shared" ref="H25:H62" si="4">((+$D$11*$I$11*D25))</f>
        <v>80051602.4346454</v>
      </c>
      <c r="I25" s="427">
        <f t="shared" ref="I25:I62" si="5">((+$D$12*$I$12*D25))</f>
        <v>60608784.4520179</v>
      </c>
      <c r="J25" s="427">
        <f t="shared" ref="J25:J62" si="6">(+$D$13*$I$13*D25)</f>
        <v>12826859.0857612</v>
      </c>
      <c r="K25" s="427">
        <f t="shared" ref="K25:K62" si="7">((+D25*$D$14*$I$14))</f>
        <v>49892945.6167955</v>
      </c>
      <c r="L25" s="427">
        <f t="shared" ref="L25:L62" si="8">((+D25*$D$16*I$16))</f>
        <v>4368633.17634347</v>
      </c>
      <c r="M25" s="427">
        <f t="shared" ref="M25:M62" si="9">((+D25*$D$15*$I$15))</f>
        <v>822976.42254508</v>
      </c>
      <c r="N25" s="427">
        <f t="shared" ref="N25:N62" si="10">((+D25*$D$17*$I$17))</f>
        <v>7252265.40690181</v>
      </c>
      <c r="O25" s="447">
        <f t="shared" ref="O25:O62" si="11">+SUM(E25:N25)</f>
        <v>312192513.943298</v>
      </c>
    </row>
    <row r="26" s="80" customFormat="1" ht="12.75" spans="1:15">
      <c r="A26" s="397"/>
      <c r="B26" s="422">
        <v>3</v>
      </c>
      <c r="C26" s="423">
        <f t="shared" si="0"/>
        <v>2027</v>
      </c>
      <c r="D26" s="418">
        <f>(+'III. Sit. Actual O-D'!U16)</f>
        <v>439116.097973491</v>
      </c>
      <c r="E26" s="426">
        <f t="shared" si="1"/>
        <v>37878077.4411138</v>
      </c>
      <c r="F26" s="427">
        <f t="shared" si="2"/>
        <v>50938780.8514171</v>
      </c>
      <c r="G26" s="427">
        <f t="shared" si="3"/>
        <v>8567660.37358526</v>
      </c>
      <c r="H26" s="427">
        <f t="shared" si="4"/>
        <v>80895635.3045125</v>
      </c>
      <c r="I26" s="427">
        <f t="shared" si="5"/>
        <v>61247819.8332516</v>
      </c>
      <c r="J26" s="427">
        <f t="shared" si="6"/>
        <v>12962100.4845124</v>
      </c>
      <c r="K26" s="427">
        <f t="shared" si="7"/>
        <v>50418997.3733415</v>
      </c>
      <c r="L26" s="427">
        <f t="shared" si="8"/>
        <v>4414694.34045615</v>
      </c>
      <c r="M26" s="427">
        <f t="shared" si="9"/>
        <v>831653.564921096</v>
      </c>
      <c r="N26" s="427">
        <f t="shared" si="10"/>
        <v>7328730.46441796</v>
      </c>
      <c r="O26" s="447">
        <f t="shared" si="11"/>
        <v>315484150.031529</v>
      </c>
    </row>
    <row r="27" s="80" customFormat="1" ht="12.75" spans="1:15">
      <c r="A27" s="397"/>
      <c r="B27" s="422">
        <v>4</v>
      </c>
      <c r="C27" s="423">
        <f t="shared" si="0"/>
        <v>2028</v>
      </c>
      <c r="D27" s="418">
        <f>(+'III. Sit. Actual O-D'!U17)</f>
        <v>443416.583150069</v>
      </c>
      <c r="E27" s="426">
        <f t="shared" si="1"/>
        <v>38249036.53668</v>
      </c>
      <c r="F27" s="427">
        <f t="shared" si="2"/>
        <v>51437649.9955352</v>
      </c>
      <c r="G27" s="427">
        <f t="shared" si="3"/>
        <v>8651567.78805857</v>
      </c>
      <c r="H27" s="427">
        <f t="shared" si="4"/>
        <v>81687887.016719</v>
      </c>
      <c r="I27" s="427">
        <f t="shared" si="5"/>
        <v>61847650.5898697</v>
      </c>
      <c r="J27" s="427">
        <f t="shared" si="6"/>
        <v>13089044.8649353</v>
      </c>
      <c r="K27" s="427">
        <f t="shared" si="7"/>
        <v>50912776.0159889</v>
      </c>
      <c r="L27" s="427">
        <f t="shared" si="8"/>
        <v>4457929.66627972</v>
      </c>
      <c r="M27" s="427">
        <f t="shared" si="9"/>
        <v>839798.367274044</v>
      </c>
      <c r="N27" s="427">
        <f t="shared" si="10"/>
        <v>7400504.41411104</v>
      </c>
      <c r="O27" s="447">
        <f t="shared" si="11"/>
        <v>318573845.255452</v>
      </c>
    </row>
    <row r="28" s="80" customFormat="1" ht="12.75" spans="1:15">
      <c r="A28" s="397"/>
      <c r="B28" s="422">
        <v>5</v>
      </c>
      <c r="C28" s="423">
        <f t="shared" si="0"/>
        <v>2029</v>
      </c>
      <c r="D28" s="418">
        <f>(+'III. Sit. Actual O-D'!U18)</f>
        <v>447458.541185264</v>
      </c>
      <c r="E28" s="426">
        <f t="shared" si="1"/>
        <v>38597695.1264638</v>
      </c>
      <c r="F28" s="427">
        <f t="shared" si="2"/>
        <v>51906529.2179449</v>
      </c>
      <c r="G28" s="427">
        <f t="shared" si="3"/>
        <v>8730431.04050968</v>
      </c>
      <c r="H28" s="427">
        <f t="shared" si="4"/>
        <v>82432511.8770697</v>
      </c>
      <c r="I28" s="427">
        <f t="shared" si="5"/>
        <v>62411422.0358623</v>
      </c>
      <c r="J28" s="427">
        <f t="shared" si="6"/>
        <v>13208357.8813521</v>
      </c>
      <c r="K28" s="427">
        <f t="shared" si="7"/>
        <v>51376870.7565373</v>
      </c>
      <c r="L28" s="427">
        <f t="shared" si="8"/>
        <v>4498565.86555523</v>
      </c>
      <c r="M28" s="427">
        <f t="shared" si="9"/>
        <v>847453.538252162</v>
      </c>
      <c r="N28" s="427">
        <f t="shared" si="10"/>
        <v>7467963.61482159</v>
      </c>
      <c r="O28" s="447">
        <f t="shared" si="11"/>
        <v>321477800.954369</v>
      </c>
    </row>
    <row r="29" s="80" customFormat="1" ht="12.75" spans="1:15">
      <c r="A29" s="397"/>
      <c r="B29" s="422">
        <v>6</v>
      </c>
      <c r="C29" s="423">
        <f t="shared" si="0"/>
        <v>2030</v>
      </c>
      <c r="D29" s="418">
        <f>(+'III. Sit. Actual O-D'!U19)</f>
        <v>451282.263411154</v>
      </c>
      <c r="E29" s="426">
        <f t="shared" si="1"/>
        <v>38927528.7336898</v>
      </c>
      <c r="F29" s="427">
        <f t="shared" si="2"/>
        <v>52350092.4336872</v>
      </c>
      <c r="G29" s="427">
        <f t="shared" si="3"/>
        <v>8805036.26119175</v>
      </c>
      <c r="H29" s="427">
        <f t="shared" si="4"/>
        <v>83136932.5077842</v>
      </c>
      <c r="I29" s="427">
        <f t="shared" si="5"/>
        <v>62944753.9976477</v>
      </c>
      <c r="J29" s="427">
        <f t="shared" si="6"/>
        <v>13321228.8782151</v>
      </c>
      <c r="K29" s="427">
        <f t="shared" si="7"/>
        <v>51815907.817017</v>
      </c>
      <c r="L29" s="427">
        <f t="shared" si="8"/>
        <v>4537008.01091956</v>
      </c>
      <c r="M29" s="427">
        <f t="shared" si="9"/>
        <v>854695.386672444</v>
      </c>
      <c r="N29" s="427">
        <f t="shared" si="10"/>
        <v>7531780.5181273</v>
      </c>
      <c r="O29" s="447">
        <f t="shared" si="11"/>
        <v>324224964.544952</v>
      </c>
    </row>
    <row r="30" s="80" customFormat="1" ht="12.75" spans="1:15">
      <c r="A30" s="397"/>
      <c r="B30" s="422">
        <v>7</v>
      </c>
      <c r="C30" s="423">
        <f t="shared" si="0"/>
        <v>2031</v>
      </c>
      <c r="D30" s="418">
        <f>(+'III. Sit. Actual O-D'!U20)</f>
        <v>454930.07175746</v>
      </c>
      <c r="E30" s="426">
        <f t="shared" si="1"/>
        <v>39242188.0405778</v>
      </c>
      <c r="F30" s="427">
        <f t="shared" si="2"/>
        <v>52773249.1132031</v>
      </c>
      <c r="G30" s="427">
        <f t="shared" si="3"/>
        <v>8876209.1996545</v>
      </c>
      <c r="H30" s="427">
        <f t="shared" si="4"/>
        <v>83808945.6154916</v>
      </c>
      <c r="I30" s="427">
        <f t="shared" si="5"/>
        <v>63453549.5289704</v>
      </c>
      <c r="J30" s="427">
        <f t="shared" si="6"/>
        <v>13428907.1404133</v>
      </c>
      <c r="K30" s="427">
        <f t="shared" si="7"/>
        <v>52234746.5712316</v>
      </c>
      <c r="L30" s="427">
        <f t="shared" si="8"/>
        <v>4573681.58981093</v>
      </c>
      <c r="M30" s="427">
        <f t="shared" si="9"/>
        <v>861604.067154336</v>
      </c>
      <c r="N30" s="427">
        <f t="shared" si="10"/>
        <v>7592661.46573843</v>
      </c>
      <c r="O30" s="447">
        <f t="shared" si="11"/>
        <v>326845742.332246</v>
      </c>
    </row>
    <row r="31" s="80" customFormat="1" ht="12.75" spans="1:15">
      <c r="A31" s="397"/>
      <c r="B31" s="422">
        <v>8</v>
      </c>
      <c r="C31" s="423">
        <f t="shared" si="0"/>
        <v>2032</v>
      </c>
      <c r="D31" s="418">
        <f>(+'III. Sit. Actual O-D'!U21)</f>
        <v>458440.013211502</v>
      </c>
      <c r="E31" s="426">
        <f t="shared" si="1"/>
        <v>39544954.9735678</v>
      </c>
      <c r="F31" s="427">
        <f t="shared" si="2"/>
        <v>53180412.8208281</v>
      </c>
      <c r="G31" s="427">
        <f t="shared" si="3"/>
        <v>8944692.19640224</v>
      </c>
      <c r="H31" s="427">
        <f t="shared" si="4"/>
        <v>84455560.3606961</v>
      </c>
      <c r="I31" s="427">
        <f t="shared" si="5"/>
        <v>63943115.4155196</v>
      </c>
      <c r="J31" s="427">
        <f t="shared" si="6"/>
        <v>13532515.7624429</v>
      </c>
      <c r="K31" s="427">
        <f t="shared" si="7"/>
        <v>52637755.5471462</v>
      </c>
      <c r="L31" s="427">
        <f t="shared" si="8"/>
        <v>4608969.11113844</v>
      </c>
      <c r="M31" s="427">
        <f t="shared" si="9"/>
        <v>868251.637891072</v>
      </c>
      <c r="N31" s="427">
        <f t="shared" si="10"/>
        <v>7651241.4517177</v>
      </c>
      <c r="O31" s="447">
        <f t="shared" si="11"/>
        <v>329367469.27735</v>
      </c>
    </row>
    <row r="32" s="80" customFormat="1" ht="12.75" spans="1:15">
      <c r="A32" s="397"/>
      <c r="B32" s="422">
        <v>9</v>
      </c>
      <c r="C32" s="423">
        <f t="shared" si="0"/>
        <v>2033</v>
      </c>
      <c r="D32" s="418">
        <f>(+'III. Sit. Actual O-D'!U22)</f>
        <v>461846.821680245</v>
      </c>
      <c r="E32" s="426">
        <f t="shared" si="1"/>
        <v>39838825.6733705</v>
      </c>
      <c r="F32" s="427">
        <f t="shared" si="2"/>
        <v>53575612.7936667</v>
      </c>
      <c r="G32" s="427">
        <f t="shared" si="3"/>
        <v>9011162.94992905</v>
      </c>
      <c r="H32" s="427">
        <f t="shared" si="4"/>
        <v>85083175.5556564</v>
      </c>
      <c r="I32" s="427">
        <f t="shared" si="5"/>
        <v>64418296.3352421</v>
      </c>
      <c r="J32" s="427">
        <f t="shared" si="6"/>
        <v>13633080.0412455</v>
      </c>
      <c r="K32" s="427">
        <f t="shared" si="7"/>
        <v>53028922.8672007</v>
      </c>
      <c r="L32" s="427">
        <f t="shared" si="8"/>
        <v>4643219.77545111</v>
      </c>
      <c r="M32" s="427">
        <f t="shared" si="9"/>
        <v>874703.882345579</v>
      </c>
      <c r="N32" s="427">
        <f t="shared" si="10"/>
        <v>7708100.17570105</v>
      </c>
      <c r="O32" s="447">
        <f t="shared" si="11"/>
        <v>331815100.049809</v>
      </c>
    </row>
    <row r="33" s="80" customFormat="1" ht="12.75" spans="1:15">
      <c r="A33" s="397"/>
      <c r="B33" s="422">
        <v>10</v>
      </c>
      <c r="C33" s="423">
        <f t="shared" si="0"/>
        <v>2034</v>
      </c>
      <c r="D33" s="418">
        <f>(+'III. Sit. Actual O-D'!U23)</f>
        <v>465182.77297878</v>
      </c>
      <c r="E33" s="426">
        <f t="shared" si="1"/>
        <v>40126584.2461234</v>
      </c>
      <c r="F33" s="427">
        <f t="shared" si="2"/>
        <v>53962593.1228126</v>
      </c>
      <c r="G33" s="427">
        <f t="shared" si="3"/>
        <v>9076251.19852792</v>
      </c>
      <c r="H33" s="427">
        <f t="shared" si="4"/>
        <v>85697737.1736095</v>
      </c>
      <c r="I33" s="427">
        <f t="shared" si="5"/>
        <v>64883594.1119532</v>
      </c>
      <c r="J33" s="427">
        <f t="shared" si="6"/>
        <v>13731552.7142871</v>
      </c>
      <c r="K33" s="427">
        <f t="shared" si="7"/>
        <v>53411954.4174778</v>
      </c>
      <c r="L33" s="427">
        <f t="shared" si="8"/>
        <v>4676758.07064376</v>
      </c>
      <c r="M33" s="427">
        <f t="shared" si="9"/>
        <v>881021.928535715</v>
      </c>
      <c r="N33" s="427">
        <f t="shared" si="10"/>
        <v>7763776.3124271</v>
      </c>
      <c r="O33" s="447">
        <f t="shared" si="11"/>
        <v>334211823.296398</v>
      </c>
    </row>
    <row r="34" s="80" customFormat="1" ht="12.75" spans="1:15">
      <c r="A34" s="397"/>
      <c r="B34" s="422">
        <v>11</v>
      </c>
      <c r="C34" s="423">
        <f t="shared" si="0"/>
        <v>2035</v>
      </c>
      <c r="D34" s="418">
        <f>(+'III. Sit. Actual O-D'!U24)</f>
        <v>468459.195704453</v>
      </c>
      <c r="E34" s="426">
        <f t="shared" si="1"/>
        <v>40409207.8946428</v>
      </c>
      <c r="F34" s="427">
        <f t="shared" si="2"/>
        <v>54342667.9594444</v>
      </c>
      <c r="G34" s="427">
        <f t="shared" si="3"/>
        <v>9140177.97616921</v>
      </c>
      <c r="H34" s="427">
        <f t="shared" si="4"/>
        <v>86301332.2117843</v>
      </c>
      <c r="I34" s="427">
        <f t="shared" si="5"/>
        <v>65340588.8559986</v>
      </c>
      <c r="J34" s="427">
        <f t="shared" si="6"/>
        <v>13828268.1861086</v>
      </c>
      <c r="K34" s="427">
        <f t="shared" si="7"/>
        <v>53788150.9394501</v>
      </c>
      <c r="L34" s="427">
        <f t="shared" si="8"/>
        <v>4709697.88981851</v>
      </c>
      <c r="M34" s="427">
        <f t="shared" si="9"/>
        <v>887227.231990928</v>
      </c>
      <c r="N34" s="427">
        <f t="shared" si="10"/>
        <v>7818458.93316173</v>
      </c>
      <c r="O34" s="447">
        <f t="shared" si="11"/>
        <v>336565778.078569</v>
      </c>
    </row>
    <row r="35" s="80" customFormat="1" ht="12.75" spans="1:15">
      <c r="A35" s="397"/>
      <c r="B35" s="422">
        <v>12</v>
      </c>
      <c r="C35" s="423">
        <f t="shared" si="0"/>
        <v>2036</v>
      </c>
      <c r="D35" s="418">
        <f>(+'III. Sit. Actual O-D'!U25)</f>
        <v>471682.181650179</v>
      </c>
      <c r="E35" s="426">
        <f t="shared" si="1"/>
        <v>40687222.095915</v>
      </c>
      <c r="F35" s="427">
        <f t="shared" si="2"/>
        <v>54716543.9697619</v>
      </c>
      <c r="G35" s="427">
        <f t="shared" si="3"/>
        <v>9203062.14074267</v>
      </c>
      <c r="H35" s="427">
        <f t="shared" si="4"/>
        <v>86895082.9234076</v>
      </c>
      <c r="I35" s="427">
        <f t="shared" si="5"/>
        <v>65790130.2493566</v>
      </c>
      <c r="J35" s="427">
        <f t="shared" si="6"/>
        <v>13923406.2780198</v>
      </c>
      <c r="K35" s="427">
        <f t="shared" si="7"/>
        <v>54158211.8884378</v>
      </c>
      <c r="L35" s="427">
        <f t="shared" si="8"/>
        <v>4742100.47737937</v>
      </c>
      <c r="M35" s="427">
        <f t="shared" si="9"/>
        <v>893331.330118562</v>
      </c>
      <c r="N35" s="427">
        <f t="shared" si="10"/>
        <v>7872249.70830261</v>
      </c>
      <c r="O35" s="447">
        <f t="shared" si="11"/>
        <v>338881341.061442</v>
      </c>
    </row>
    <row r="36" s="80" customFormat="1" ht="12.75" spans="1:15">
      <c r="A36" s="397"/>
      <c r="B36" s="422">
        <v>13</v>
      </c>
      <c r="C36" s="423">
        <f t="shared" si="0"/>
        <v>2037</v>
      </c>
      <c r="D36" s="418">
        <f>(+'III. Sit. Actual O-D'!U26)</f>
        <v>474836.875391133</v>
      </c>
      <c r="E36" s="426">
        <f t="shared" si="1"/>
        <v>40959345.4236051</v>
      </c>
      <c r="F36" s="427">
        <f t="shared" si="2"/>
        <v>55082497.8800499</v>
      </c>
      <c r="G36" s="427">
        <f t="shared" si="3"/>
        <v>9264613.84581543</v>
      </c>
      <c r="H36" s="427">
        <f t="shared" si="4"/>
        <v>87476252.5856982</v>
      </c>
      <c r="I36" s="427">
        <f t="shared" si="5"/>
        <v>66230146.2605361</v>
      </c>
      <c r="J36" s="427">
        <f t="shared" si="6"/>
        <v>14016528.4784055</v>
      </c>
      <c r="K36" s="427">
        <f t="shared" si="7"/>
        <v>54520431.5751514</v>
      </c>
      <c r="L36" s="427">
        <f t="shared" si="8"/>
        <v>4773816.48293766</v>
      </c>
      <c r="M36" s="427">
        <f t="shared" si="9"/>
        <v>899306.087837548</v>
      </c>
      <c r="N36" s="427">
        <f t="shared" si="10"/>
        <v>7924900.70477469</v>
      </c>
      <c r="O36" s="447">
        <f t="shared" si="11"/>
        <v>341147839.324812</v>
      </c>
    </row>
    <row r="37" s="80" customFormat="1" ht="12.75" spans="1:15">
      <c r="A37" s="397"/>
      <c r="B37" s="422">
        <v>14</v>
      </c>
      <c r="C37" s="423">
        <f t="shared" si="0"/>
        <v>2038</v>
      </c>
      <c r="D37" s="418">
        <f>(+'III. Sit. Actual O-D'!U27)</f>
        <v>477887.901778989</v>
      </c>
      <c r="E37" s="426">
        <f t="shared" si="1"/>
        <v>41222526.4236355</v>
      </c>
      <c r="F37" s="427">
        <f t="shared" si="2"/>
        <v>55436426.0672882</v>
      </c>
      <c r="G37" s="427">
        <f t="shared" si="3"/>
        <v>9324142.8815366</v>
      </c>
      <c r="H37" s="427">
        <f t="shared" si="4"/>
        <v>88038324.2544791</v>
      </c>
      <c r="I37" s="427">
        <f t="shared" si="5"/>
        <v>66655702.7713822</v>
      </c>
      <c r="J37" s="427">
        <f t="shared" si="6"/>
        <v>14106590.5617653</v>
      </c>
      <c r="K37" s="427">
        <f t="shared" si="7"/>
        <v>54870748.2502751</v>
      </c>
      <c r="L37" s="427">
        <f t="shared" si="8"/>
        <v>4804490.25916498</v>
      </c>
      <c r="M37" s="427">
        <f t="shared" si="9"/>
        <v>905084.507221031</v>
      </c>
      <c r="N37" s="427">
        <f t="shared" si="10"/>
        <v>7975821.52079492</v>
      </c>
      <c r="O37" s="447">
        <f t="shared" si="11"/>
        <v>343339857.497543</v>
      </c>
    </row>
    <row r="38" s="80" customFormat="1" ht="12.75" spans="1:15">
      <c r="A38" s="397"/>
      <c r="B38" s="422">
        <v>15</v>
      </c>
      <c r="C38" s="423">
        <f t="shared" si="0"/>
        <v>2039</v>
      </c>
      <c r="D38" s="418">
        <f>(+'III. Sit. Actual O-D'!U28)</f>
        <v>480789.198309434</v>
      </c>
      <c r="E38" s="426">
        <f t="shared" si="1"/>
        <v>41472791.752479</v>
      </c>
      <c r="F38" s="427">
        <f t="shared" si="2"/>
        <v>55772985.1431939</v>
      </c>
      <c r="G38" s="427">
        <f t="shared" si="3"/>
        <v>9380750.51544168</v>
      </c>
      <c r="H38" s="427">
        <f t="shared" si="4"/>
        <v>88572812.1202628</v>
      </c>
      <c r="I38" s="427">
        <f t="shared" si="5"/>
        <v>67060374.9936023</v>
      </c>
      <c r="J38" s="427">
        <f t="shared" si="6"/>
        <v>14192232.8266163</v>
      </c>
      <c r="K38" s="427">
        <f t="shared" si="7"/>
        <v>55203873.0498961</v>
      </c>
      <c r="L38" s="427">
        <f t="shared" si="8"/>
        <v>4833658.71241014</v>
      </c>
      <c r="M38" s="427">
        <f t="shared" si="9"/>
        <v>910579.349276636</v>
      </c>
      <c r="N38" s="427">
        <f t="shared" si="10"/>
        <v>8024243.38546148</v>
      </c>
      <c r="O38" s="447">
        <f t="shared" si="11"/>
        <v>345424301.84864</v>
      </c>
    </row>
    <row r="39" s="80" customFormat="1" ht="12.75" spans="1:15">
      <c r="A39" s="397"/>
      <c r="B39" s="422">
        <v>16</v>
      </c>
      <c r="C39" s="423">
        <f t="shared" si="0"/>
        <v>2040</v>
      </c>
      <c r="D39" s="418">
        <f>(+'III. Sit. Actual O-D'!U29)</f>
        <v>483494.381857473</v>
      </c>
      <c r="E39" s="426">
        <f t="shared" si="1"/>
        <v>41706140.4099251</v>
      </c>
      <c r="F39" s="427">
        <f t="shared" si="2"/>
        <v>56086794.5265264</v>
      </c>
      <c r="G39" s="427">
        <f t="shared" si="3"/>
        <v>9433531.75938781</v>
      </c>
      <c r="H39" s="427">
        <f t="shared" si="4"/>
        <v>89071171.3076027</v>
      </c>
      <c r="I39" s="427">
        <f t="shared" si="5"/>
        <v>67437693.4187997</v>
      </c>
      <c r="J39" s="427">
        <f t="shared" si="6"/>
        <v>14272086.1071965</v>
      </c>
      <c r="K39" s="427">
        <f t="shared" si="7"/>
        <v>55514480.2966639</v>
      </c>
      <c r="L39" s="427">
        <f t="shared" si="8"/>
        <v>4860855.52563229</v>
      </c>
      <c r="M39" s="427">
        <f t="shared" si="9"/>
        <v>915702.767780023</v>
      </c>
      <c r="N39" s="427">
        <f t="shared" si="10"/>
        <v>8069392.17679901</v>
      </c>
      <c r="O39" s="447">
        <f t="shared" si="11"/>
        <v>347367848.296313</v>
      </c>
    </row>
    <row r="40" s="80" customFormat="1" ht="12.75" spans="1:15">
      <c r="A40" s="397"/>
      <c r="B40" s="422">
        <v>17</v>
      </c>
      <c r="C40" s="423">
        <f t="shared" si="0"/>
        <v>2041</v>
      </c>
      <c r="D40" s="418">
        <f>(+'III. Sit. Actual O-D'!U30)</f>
        <v>485963.374838146</v>
      </c>
      <c r="E40" s="426">
        <f t="shared" si="1"/>
        <v>41919115.3105381</v>
      </c>
      <c r="F40" s="427">
        <f t="shared" si="2"/>
        <v>56373205.0975499</v>
      </c>
      <c r="G40" s="427">
        <f t="shared" si="3"/>
        <v>9481704.6535741</v>
      </c>
      <c r="H40" s="427">
        <f t="shared" si="4"/>
        <v>89526018.5715852</v>
      </c>
      <c r="I40" s="427">
        <f t="shared" si="5"/>
        <v>67782068.0339589</v>
      </c>
      <c r="J40" s="427">
        <f t="shared" si="6"/>
        <v>14344967.368573</v>
      </c>
      <c r="K40" s="427">
        <f t="shared" si="7"/>
        <v>55797968.3108402</v>
      </c>
      <c r="L40" s="427">
        <f t="shared" si="8"/>
        <v>4885677.775121</v>
      </c>
      <c r="M40" s="427">
        <f t="shared" si="9"/>
        <v>920378.858735509</v>
      </c>
      <c r="N40" s="427">
        <f t="shared" si="10"/>
        <v>8110599.01061221</v>
      </c>
      <c r="O40" s="447">
        <f t="shared" si="11"/>
        <v>349141702.991088</v>
      </c>
    </row>
    <row r="41" s="80" customFormat="1" ht="12.75" spans="1:15">
      <c r="A41" s="397"/>
      <c r="B41" s="422">
        <v>18</v>
      </c>
      <c r="C41" s="423">
        <f t="shared" si="0"/>
        <v>2042</v>
      </c>
      <c r="D41" s="418">
        <f>(+'III. Sit. Actual O-D'!U31)</f>
        <v>488183.352424267</v>
      </c>
      <c r="E41" s="426">
        <f t="shared" si="1"/>
        <v>42110610.1869789</v>
      </c>
      <c r="F41" s="427">
        <f t="shared" si="2"/>
        <v>56630729.1379491</v>
      </c>
      <c r="G41" s="427">
        <f t="shared" si="3"/>
        <v>9525018.97086428</v>
      </c>
      <c r="H41" s="427">
        <f t="shared" si="4"/>
        <v>89934991.2738382</v>
      </c>
      <c r="I41" s="427">
        <f t="shared" si="5"/>
        <v>68091710.034915</v>
      </c>
      <c r="J41" s="427">
        <f t="shared" si="6"/>
        <v>14410498.0395674</v>
      </c>
      <c r="K41" s="427">
        <f t="shared" si="7"/>
        <v>56052864.5549088</v>
      </c>
      <c r="L41" s="427">
        <f t="shared" si="8"/>
        <v>4907996.52528892</v>
      </c>
      <c r="M41" s="427">
        <f t="shared" si="9"/>
        <v>924583.332864475</v>
      </c>
      <c r="N41" s="427">
        <f t="shared" si="10"/>
        <v>8147649.84395858</v>
      </c>
      <c r="O41" s="447">
        <f t="shared" si="11"/>
        <v>350736651.901134</v>
      </c>
    </row>
    <row r="42" s="80" customFormat="1" ht="12.75" spans="1:15">
      <c r="A42" s="397"/>
      <c r="B42" s="422">
        <v>19</v>
      </c>
      <c r="C42" s="423">
        <f t="shared" si="0"/>
        <v>2043</v>
      </c>
      <c r="D42" s="418">
        <f>(+'III. Sit. Actual O-D'!U32)</f>
        <v>490153.352753794</v>
      </c>
      <c r="E42" s="426">
        <f t="shared" si="1"/>
        <v>42280542.0691969</v>
      </c>
      <c r="F42" s="427">
        <f t="shared" si="2"/>
        <v>56859255.0688501</v>
      </c>
      <c r="G42" s="427">
        <f t="shared" si="3"/>
        <v>9563455.94422312</v>
      </c>
      <c r="H42" s="427">
        <f t="shared" si="4"/>
        <v>90297912.2164834</v>
      </c>
      <c r="I42" s="427">
        <f t="shared" si="5"/>
        <v>68366485.2613555</v>
      </c>
      <c r="J42" s="427">
        <f t="shared" si="6"/>
        <v>14468649.7273413</v>
      </c>
      <c r="K42" s="427">
        <f t="shared" si="7"/>
        <v>56279058.5885558</v>
      </c>
      <c r="L42" s="427">
        <f t="shared" si="8"/>
        <v>4927802.10596701</v>
      </c>
      <c r="M42" s="427">
        <f t="shared" si="9"/>
        <v>928314.368471022</v>
      </c>
      <c r="N42" s="427">
        <f t="shared" si="10"/>
        <v>8180528.62361743</v>
      </c>
      <c r="O42" s="447">
        <f t="shared" si="11"/>
        <v>352152003.974062</v>
      </c>
    </row>
    <row r="43" s="80" customFormat="1" ht="12.75" spans="1:15">
      <c r="A43" s="397"/>
      <c r="B43" s="422">
        <v>20</v>
      </c>
      <c r="C43" s="423">
        <f t="shared" si="0"/>
        <v>2044</v>
      </c>
      <c r="D43" s="418">
        <f>(+'III. Sit. Actual O-D'!U33)</f>
        <v>491895.712400748</v>
      </c>
      <c r="E43" s="426">
        <f t="shared" si="1"/>
        <v>42430837.7061416</v>
      </c>
      <c r="F43" s="427">
        <f t="shared" si="2"/>
        <v>57061373.9996525</v>
      </c>
      <c r="G43" s="427">
        <f t="shared" si="3"/>
        <v>9597451.38591298</v>
      </c>
      <c r="H43" s="427">
        <f t="shared" si="4"/>
        <v>90618896.3280195</v>
      </c>
      <c r="I43" s="427">
        <f t="shared" si="5"/>
        <v>68609509.2138679</v>
      </c>
      <c r="J43" s="427">
        <f t="shared" si="6"/>
        <v>14520081.7766973</v>
      </c>
      <c r="K43" s="427">
        <f t="shared" si="7"/>
        <v>56479115.0812887</v>
      </c>
      <c r="L43" s="427">
        <f t="shared" si="8"/>
        <v>4945319.07996988</v>
      </c>
      <c r="M43" s="427">
        <f t="shared" si="9"/>
        <v>931614.269382081</v>
      </c>
      <c r="N43" s="427">
        <f t="shared" si="10"/>
        <v>8209608.14104694</v>
      </c>
      <c r="O43" s="447">
        <f t="shared" si="11"/>
        <v>353403806.981979</v>
      </c>
    </row>
    <row r="44" s="80" customFormat="1" ht="12.75" spans="1:15">
      <c r="A44" s="397"/>
      <c r="B44" s="422">
        <v>21</v>
      </c>
      <c r="C44" s="423">
        <f t="shared" si="0"/>
        <v>2045</v>
      </c>
      <c r="D44" s="418">
        <f>(+'III. Sit. Actual O-D'!U34)</f>
        <v>493430.416720827</v>
      </c>
      <c r="E44" s="426">
        <f t="shared" si="1"/>
        <v>42563221.0310833</v>
      </c>
      <c r="F44" s="427">
        <f t="shared" si="2"/>
        <v>57239404.2913977</v>
      </c>
      <c r="G44" s="427">
        <f t="shared" si="3"/>
        <v>9627395.23322123</v>
      </c>
      <c r="H44" s="427">
        <f t="shared" si="4"/>
        <v>90901625.3865768</v>
      </c>
      <c r="I44" s="427">
        <f t="shared" si="5"/>
        <v>68823569.4456091</v>
      </c>
      <c r="J44" s="427">
        <f t="shared" si="6"/>
        <v>14565384.1277217</v>
      </c>
      <c r="K44" s="427">
        <f t="shared" si="7"/>
        <v>56655328.7374038</v>
      </c>
      <c r="L44" s="427">
        <f t="shared" si="8"/>
        <v>4960748.37192113</v>
      </c>
      <c r="M44" s="427">
        <f t="shared" si="9"/>
        <v>934520.886390166</v>
      </c>
      <c r="N44" s="427">
        <f t="shared" si="10"/>
        <v>8235221.94649918</v>
      </c>
      <c r="O44" s="447">
        <f t="shared" si="11"/>
        <v>354506419.457824</v>
      </c>
    </row>
    <row r="45" s="80" customFormat="1" ht="12.75" spans="1:15">
      <c r="A45" s="397"/>
      <c r="B45" s="422">
        <v>22</v>
      </c>
      <c r="C45" s="423">
        <f t="shared" si="0"/>
        <v>2046</v>
      </c>
      <c r="D45" s="418">
        <f>(+'III. Sit. Actual O-D'!U35)</f>
        <v>494787.604057922</v>
      </c>
      <c r="E45" s="426">
        <f t="shared" si="1"/>
        <v>42680291.7722696</v>
      </c>
      <c r="F45" s="427">
        <f t="shared" si="2"/>
        <v>57396842.082127</v>
      </c>
      <c r="G45" s="427">
        <f t="shared" si="3"/>
        <v>9653875.51991813</v>
      </c>
      <c r="H45" s="427">
        <f t="shared" si="4"/>
        <v>91151651.5923302</v>
      </c>
      <c r="I45" s="427">
        <f t="shared" si="5"/>
        <v>69012869.646367</v>
      </c>
      <c r="J45" s="427">
        <f t="shared" si="6"/>
        <v>14605446.4226841</v>
      </c>
      <c r="K45" s="427">
        <f t="shared" si="7"/>
        <v>56811160.0200645</v>
      </c>
      <c r="L45" s="427">
        <f t="shared" si="8"/>
        <v>4974392.980451</v>
      </c>
      <c r="M45" s="427">
        <f t="shared" si="9"/>
        <v>937091.299300032</v>
      </c>
      <c r="N45" s="427">
        <f t="shared" si="10"/>
        <v>8257873.04088901</v>
      </c>
      <c r="O45" s="447">
        <f t="shared" si="11"/>
        <v>355481494.3764</v>
      </c>
    </row>
    <row r="46" s="80" customFormat="1" ht="12.75" spans="1:15">
      <c r="A46" s="397"/>
      <c r="B46" s="422">
        <v>23</v>
      </c>
      <c r="C46" s="423">
        <f t="shared" si="0"/>
        <v>2047</v>
      </c>
      <c r="D46" s="418">
        <f>(+'III. Sit. Actual O-D'!U36)</f>
        <v>495996.878388124</v>
      </c>
      <c r="E46" s="426">
        <f t="shared" si="1"/>
        <v>42784603.5634754</v>
      </c>
      <c r="F46" s="427">
        <f t="shared" si="2"/>
        <v>57537121.5216184</v>
      </c>
      <c r="G46" s="427">
        <f t="shared" si="3"/>
        <v>9677469.85364326</v>
      </c>
      <c r="H46" s="427">
        <f t="shared" si="4"/>
        <v>91374428.7021892</v>
      </c>
      <c r="I46" s="427">
        <f t="shared" si="5"/>
        <v>69181538.9724221</v>
      </c>
      <c r="J46" s="427">
        <f t="shared" si="6"/>
        <v>14641142.5300547</v>
      </c>
      <c r="K46" s="427">
        <f t="shared" si="7"/>
        <v>56950008.0367039</v>
      </c>
      <c r="L46" s="427">
        <f t="shared" si="8"/>
        <v>4986550.53187359</v>
      </c>
      <c r="M46" s="427">
        <f t="shared" si="9"/>
        <v>939381.575863157</v>
      </c>
      <c r="N46" s="427">
        <f t="shared" si="10"/>
        <v>8278055.50667536</v>
      </c>
      <c r="O46" s="447">
        <f t="shared" si="11"/>
        <v>356350300.794519</v>
      </c>
    </row>
    <row r="47" s="80" customFormat="1" ht="12.75" spans="1:15">
      <c r="A47" s="397"/>
      <c r="B47" s="422">
        <v>24</v>
      </c>
      <c r="C47" s="423">
        <f t="shared" si="0"/>
        <v>2048</v>
      </c>
      <c r="D47" s="418">
        <f>(+'III. Sit. Actual O-D'!U37)</f>
        <v>497085.064974965</v>
      </c>
      <c r="E47" s="426">
        <f t="shared" si="1"/>
        <v>42878470.347219</v>
      </c>
      <c r="F47" s="427">
        <f t="shared" si="2"/>
        <v>57663354.4206818</v>
      </c>
      <c r="G47" s="427">
        <f t="shared" si="3"/>
        <v>9698701.62615667</v>
      </c>
      <c r="H47" s="427">
        <f t="shared" si="4"/>
        <v>91574898.5680827</v>
      </c>
      <c r="I47" s="427">
        <f t="shared" si="5"/>
        <v>69333319.0058198</v>
      </c>
      <c r="J47" s="427">
        <f t="shared" si="6"/>
        <v>14673264.2945485</v>
      </c>
      <c r="K47" s="427">
        <f t="shared" si="7"/>
        <v>57074952.8449605</v>
      </c>
      <c r="L47" s="427">
        <f t="shared" si="8"/>
        <v>4997490.71645909</v>
      </c>
      <c r="M47" s="427">
        <f t="shared" si="9"/>
        <v>941442.521153988</v>
      </c>
      <c r="N47" s="427">
        <f t="shared" si="10"/>
        <v>8296217.0503463</v>
      </c>
      <c r="O47" s="447">
        <f t="shared" si="11"/>
        <v>357132111.395428</v>
      </c>
    </row>
    <row r="48" s="80" customFormat="1" ht="12.75" spans="1:15">
      <c r="A48" s="397"/>
      <c r="B48" s="422">
        <v>25</v>
      </c>
      <c r="C48" s="423">
        <f t="shared" si="0"/>
        <v>2049</v>
      </c>
      <c r="D48" s="418">
        <f>(+'III. Sit. Actual O-D'!U38)</f>
        <v>498070.973564988</v>
      </c>
      <c r="E48" s="426">
        <f t="shared" si="1"/>
        <v>42963514.6489312</v>
      </c>
      <c r="F48" s="427">
        <f t="shared" si="2"/>
        <v>57777722.7661796</v>
      </c>
      <c r="G48" s="427">
        <f t="shared" si="3"/>
        <v>9717937.83725824</v>
      </c>
      <c r="H48" s="427">
        <f t="shared" si="4"/>
        <v>91756526.3929567</v>
      </c>
      <c r="I48" s="427">
        <f t="shared" si="5"/>
        <v>69470833.3260017</v>
      </c>
      <c r="J48" s="427">
        <f t="shared" si="6"/>
        <v>14702366.9538939</v>
      </c>
      <c r="K48" s="427">
        <f t="shared" si="7"/>
        <v>57188154.1665247</v>
      </c>
      <c r="L48" s="427">
        <f t="shared" si="8"/>
        <v>5007402.63973557</v>
      </c>
      <c r="M48" s="427">
        <f t="shared" si="9"/>
        <v>943309.75944783</v>
      </c>
      <c r="N48" s="427">
        <f t="shared" si="10"/>
        <v>8312671.60155082</v>
      </c>
      <c r="O48" s="447">
        <f t="shared" si="11"/>
        <v>357840440.09248</v>
      </c>
    </row>
    <row r="49" s="80" customFormat="1" ht="12.75" spans="1:15">
      <c r="A49" s="397"/>
      <c r="B49" s="422">
        <v>26</v>
      </c>
      <c r="C49" s="423">
        <f t="shared" si="0"/>
        <v>2050</v>
      </c>
      <c r="D49" s="418">
        <f>(+'III. Sit. Actual O-D'!U39)</f>
        <v>498966.360249781</v>
      </c>
      <c r="E49" s="426">
        <f t="shared" si="1"/>
        <v>43040750.5470065</v>
      </c>
      <c r="F49" s="427">
        <f t="shared" si="2"/>
        <v>57881590.2999012</v>
      </c>
      <c r="G49" s="427">
        <f t="shared" si="3"/>
        <v>9735407.8618229</v>
      </c>
      <c r="H49" s="427">
        <f t="shared" si="4"/>
        <v>91921477.9286525</v>
      </c>
      <c r="I49" s="427">
        <f t="shared" si="5"/>
        <v>69595721.6701193</v>
      </c>
      <c r="J49" s="427">
        <f t="shared" si="6"/>
        <v>14728797.5316713</v>
      </c>
      <c r="K49" s="427">
        <f t="shared" si="7"/>
        <v>57290961.8274532</v>
      </c>
      <c r="L49" s="427">
        <f t="shared" si="8"/>
        <v>5016404.4926581</v>
      </c>
      <c r="M49" s="427">
        <f t="shared" si="9"/>
        <v>945005.555916753</v>
      </c>
      <c r="N49" s="427">
        <f t="shared" si="10"/>
        <v>8327615.36631954</v>
      </c>
      <c r="O49" s="447">
        <f t="shared" si="11"/>
        <v>358483733.081521</v>
      </c>
    </row>
    <row r="50" s="80" customFormat="1" ht="12.75" spans="1:15">
      <c r="A50" s="397"/>
      <c r="B50" s="422">
        <v>27</v>
      </c>
      <c r="C50" s="423">
        <f t="shared" si="0"/>
        <v>2051</v>
      </c>
      <c r="D50" s="418">
        <f>(+'III. Sit. Actual O-D'!U40)</f>
        <v>499770.156293744</v>
      </c>
      <c r="E50" s="426">
        <f t="shared" si="1"/>
        <v>43110085.8525</v>
      </c>
      <c r="F50" s="427">
        <f t="shared" si="2"/>
        <v>57974833.0453201</v>
      </c>
      <c r="G50" s="427">
        <f t="shared" si="3"/>
        <v>9751090.84758929</v>
      </c>
      <c r="H50" s="427">
        <f t="shared" si="4"/>
        <v>92069556.2886393</v>
      </c>
      <c r="I50" s="427">
        <f t="shared" si="5"/>
        <v>69707834.9711587</v>
      </c>
      <c r="J50" s="427">
        <f t="shared" si="6"/>
        <v>14752524.4802823</v>
      </c>
      <c r="K50" s="427">
        <f t="shared" si="7"/>
        <v>57383253.1162862</v>
      </c>
      <c r="L50" s="427">
        <f t="shared" si="8"/>
        <v>5024485.53059441</v>
      </c>
      <c r="M50" s="427">
        <f t="shared" si="9"/>
        <v>946527.886454205</v>
      </c>
      <c r="N50" s="427">
        <f t="shared" si="10"/>
        <v>8341030.50774059</v>
      </c>
      <c r="O50" s="447">
        <f t="shared" si="11"/>
        <v>359061222.526565</v>
      </c>
    </row>
    <row r="51" s="80" customFormat="1" ht="12.75" spans="1:15">
      <c r="A51" s="397"/>
      <c r="B51" s="422">
        <v>28</v>
      </c>
      <c r="C51" s="423">
        <f t="shared" si="0"/>
        <v>2052</v>
      </c>
      <c r="D51" s="418">
        <f>(+'III. Sit. Actual O-D'!U41)</f>
        <v>500474.239306327</v>
      </c>
      <c r="E51" s="426">
        <f t="shared" si="1"/>
        <v>43170819.9294301</v>
      </c>
      <c r="F51" s="427">
        <f t="shared" si="2"/>
        <v>58056508.7808366</v>
      </c>
      <c r="G51" s="427">
        <f t="shared" si="3"/>
        <v>9764828.3173711</v>
      </c>
      <c r="H51" s="427">
        <f t="shared" si="4"/>
        <v>92199265.135281</v>
      </c>
      <c r="I51" s="427">
        <f t="shared" si="5"/>
        <v>69806040.3198155</v>
      </c>
      <c r="J51" s="427">
        <f t="shared" si="6"/>
        <v>14773308.0379807</v>
      </c>
      <c r="K51" s="427">
        <f t="shared" si="7"/>
        <v>57464095.4259301</v>
      </c>
      <c r="L51" s="427">
        <f t="shared" si="8"/>
        <v>5031564.09433918</v>
      </c>
      <c r="M51" s="427">
        <f t="shared" si="9"/>
        <v>947861.367850394</v>
      </c>
      <c r="N51" s="427">
        <f t="shared" si="10"/>
        <v>8352781.46528372</v>
      </c>
      <c r="O51" s="447">
        <f t="shared" si="11"/>
        <v>359567072.874118</v>
      </c>
    </row>
    <row r="52" s="80" customFormat="1" ht="12.75" spans="1:15">
      <c r="A52" s="397"/>
      <c r="B52" s="422">
        <v>29</v>
      </c>
      <c r="C52" s="423">
        <f t="shared" si="0"/>
        <v>2053</v>
      </c>
      <c r="D52" s="418">
        <f>(+'III. Sit. Actual O-D'!U42)</f>
        <v>501055.95209283</v>
      </c>
      <c r="E52" s="426">
        <f t="shared" si="1"/>
        <v>43220998.3721639</v>
      </c>
      <c r="F52" s="427">
        <f t="shared" si="2"/>
        <v>58123989.2040935</v>
      </c>
      <c r="G52" s="427">
        <f t="shared" si="3"/>
        <v>9776178.20322756</v>
      </c>
      <c r="H52" s="427">
        <f t="shared" si="4"/>
        <v>92306430.4741199</v>
      </c>
      <c r="I52" s="427">
        <f t="shared" si="5"/>
        <v>69887177.4953982</v>
      </c>
      <c r="J52" s="427">
        <f t="shared" si="6"/>
        <v>14790479.3956845</v>
      </c>
      <c r="K52" s="427">
        <f t="shared" si="7"/>
        <v>57530887.2734395</v>
      </c>
      <c r="L52" s="427">
        <f t="shared" si="8"/>
        <v>5037412.39768811</v>
      </c>
      <c r="M52" s="427">
        <f t="shared" si="9"/>
        <v>948963.089046425</v>
      </c>
      <c r="N52" s="427">
        <f t="shared" si="10"/>
        <v>8362490.09641718</v>
      </c>
      <c r="O52" s="447">
        <f t="shared" si="11"/>
        <v>359985006.001279</v>
      </c>
    </row>
    <row r="53" s="80" customFormat="1" ht="12.75" spans="1:15">
      <c r="A53" s="397"/>
      <c r="B53" s="422">
        <v>30</v>
      </c>
      <c r="C53" s="423">
        <f t="shared" si="0"/>
        <v>2054</v>
      </c>
      <c r="D53" s="418">
        <f>(+'III. Sit. Actual O-D'!U43)</f>
        <v>501485.904424284</v>
      </c>
      <c r="E53" s="426">
        <f t="shared" si="1"/>
        <v>43258085.9847155</v>
      </c>
      <c r="F53" s="427">
        <f t="shared" si="2"/>
        <v>58173864.960618</v>
      </c>
      <c r="G53" s="427">
        <f t="shared" si="3"/>
        <v>9784567.06797137</v>
      </c>
      <c r="H53" s="427">
        <f t="shared" si="4"/>
        <v>92385637.9255528</v>
      </c>
      <c r="I53" s="427">
        <f t="shared" si="5"/>
        <v>69947147.1550288</v>
      </c>
      <c r="J53" s="427">
        <f t="shared" si="6"/>
        <v>14803170.994443</v>
      </c>
      <c r="K53" s="427">
        <f t="shared" si="7"/>
        <v>57580254.0936729</v>
      </c>
      <c r="L53" s="427">
        <f t="shared" si="8"/>
        <v>5041734.96325356</v>
      </c>
      <c r="M53" s="427">
        <f t="shared" si="9"/>
        <v>949777.38711213</v>
      </c>
      <c r="N53" s="427">
        <f t="shared" si="10"/>
        <v>8369665.88606442</v>
      </c>
      <c r="O53" s="447">
        <f t="shared" si="11"/>
        <v>360293906.418432</v>
      </c>
    </row>
    <row r="54" s="80" customFormat="1" ht="12.75" spans="1:15">
      <c r="A54" s="397"/>
      <c r="B54" s="422">
        <v>31</v>
      </c>
      <c r="C54" s="423">
        <f t="shared" si="0"/>
        <v>2055</v>
      </c>
      <c r="D54" s="418">
        <f>(+'III. Sit. Actual O-D'!U44)</f>
        <v>501737.484784275</v>
      </c>
      <c r="E54" s="426">
        <f t="shared" si="1"/>
        <v>43279787.2623557</v>
      </c>
      <c r="F54" s="427">
        <f t="shared" si="2"/>
        <v>58203049.0349054</v>
      </c>
      <c r="G54" s="427">
        <f t="shared" si="3"/>
        <v>9789475.69029474</v>
      </c>
      <c r="H54" s="427">
        <f t="shared" si="4"/>
        <v>92431985.014957</v>
      </c>
      <c r="I54" s="427">
        <f t="shared" si="5"/>
        <v>69982237.5300649</v>
      </c>
      <c r="J54" s="427">
        <f t="shared" si="6"/>
        <v>14810597.2990608</v>
      </c>
      <c r="K54" s="427">
        <f t="shared" si="7"/>
        <v>57609140.371284</v>
      </c>
      <c r="L54" s="427">
        <f t="shared" si="8"/>
        <v>5044264.24969181</v>
      </c>
      <c r="M54" s="427">
        <f t="shared" si="9"/>
        <v>950253.861794374</v>
      </c>
      <c r="N54" s="427">
        <f t="shared" si="10"/>
        <v>8373864.69511975</v>
      </c>
      <c r="O54" s="447">
        <f t="shared" si="11"/>
        <v>360474655.009528</v>
      </c>
    </row>
    <row r="55" s="80" customFormat="1" ht="12.75" spans="1:15">
      <c r="A55" s="397"/>
      <c r="B55" s="422">
        <v>32</v>
      </c>
      <c r="C55" s="423">
        <f t="shared" si="0"/>
        <v>2056</v>
      </c>
      <c r="D55" s="418">
        <f>(+'III. Sit. Actual O-D'!U45)</f>
        <v>501795.303380178</v>
      </c>
      <c r="E55" s="426">
        <f t="shared" si="1"/>
        <v>43284774.6842772</v>
      </c>
      <c r="F55" s="427">
        <f t="shared" si="2"/>
        <v>58209756.1649775</v>
      </c>
      <c r="G55" s="427">
        <f t="shared" si="3"/>
        <v>9790603.79763414</v>
      </c>
      <c r="H55" s="427">
        <f t="shared" si="4"/>
        <v>92442636.5762856</v>
      </c>
      <c r="I55" s="427">
        <f t="shared" si="5"/>
        <v>69990302.0555086</v>
      </c>
      <c r="J55" s="427">
        <f t="shared" si="6"/>
        <v>14812304.0241237</v>
      </c>
      <c r="K55" s="427">
        <f t="shared" si="7"/>
        <v>57615779.0612532</v>
      </c>
      <c r="L55" s="427">
        <f t="shared" si="8"/>
        <v>5044845.53429805</v>
      </c>
      <c r="M55" s="427">
        <f t="shared" si="9"/>
        <v>950363.365958816</v>
      </c>
      <c r="N55" s="427">
        <f t="shared" si="10"/>
        <v>8374829.67205218</v>
      </c>
      <c r="O55" s="447">
        <f t="shared" si="11"/>
        <v>360516194.936369</v>
      </c>
    </row>
    <row r="56" s="80" customFormat="1" ht="12.75" spans="1:15">
      <c r="A56" s="397"/>
      <c r="B56" s="422">
        <v>33</v>
      </c>
      <c r="C56" s="423">
        <f t="shared" si="0"/>
        <v>2057</v>
      </c>
      <c r="D56" s="418">
        <f>(+'III. Sit. Actual O-D'!U46)</f>
        <v>501650.810327201</v>
      </c>
      <c r="E56" s="426">
        <f t="shared" si="1"/>
        <v>43272310.7389206</v>
      </c>
      <c r="F56" s="427">
        <f t="shared" si="2"/>
        <v>58192994.5386237</v>
      </c>
      <c r="G56" s="427">
        <f t="shared" si="3"/>
        <v>9787784.57189871</v>
      </c>
      <c r="H56" s="427">
        <f t="shared" si="4"/>
        <v>92416017.5172905</v>
      </c>
      <c r="I56" s="427">
        <f t="shared" si="5"/>
        <v>69970148.19525</v>
      </c>
      <c r="J56" s="427">
        <f t="shared" si="6"/>
        <v>14808038.7888462</v>
      </c>
      <c r="K56" s="427">
        <f t="shared" si="7"/>
        <v>57599188.4719031</v>
      </c>
      <c r="L56" s="427">
        <f t="shared" si="8"/>
        <v>5043392.86001406</v>
      </c>
      <c r="M56" s="427">
        <f t="shared" si="9"/>
        <v>950089.70675304</v>
      </c>
      <c r="N56" s="427">
        <f t="shared" si="10"/>
        <v>8372418.1215667</v>
      </c>
      <c r="O56" s="447">
        <f t="shared" si="11"/>
        <v>360412383.511067</v>
      </c>
    </row>
    <row r="57" s="80" customFormat="1" ht="12.75" spans="1:15">
      <c r="A57" s="397"/>
      <c r="B57" s="422">
        <v>34</v>
      </c>
      <c r="C57" s="423">
        <f t="shared" si="0"/>
        <v>2058</v>
      </c>
      <c r="D57" s="418">
        <f>(+'III. Sit. Actual O-D'!U47)</f>
        <v>501309.02868266</v>
      </c>
      <c r="E57" s="426">
        <f t="shared" si="1"/>
        <v>43242828.714327</v>
      </c>
      <c r="F57" s="427">
        <f t="shared" si="2"/>
        <v>58153346.8455178</v>
      </c>
      <c r="G57" s="427">
        <f t="shared" si="3"/>
        <v>9781116.01871683</v>
      </c>
      <c r="H57" s="427">
        <f t="shared" si="4"/>
        <v>92353053.2046676</v>
      </c>
      <c r="I57" s="427">
        <f t="shared" si="5"/>
        <v>69922476.5642536</v>
      </c>
      <c r="J57" s="427">
        <f t="shared" si="6"/>
        <v>14797949.8669398</v>
      </c>
      <c r="K57" s="427">
        <f t="shared" si="7"/>
        <v>57559945.3470942</v>
      </c>
      <c r="L57" s="427">
        <f t="shared" si="8"/>
        <v>5039956.72661154</v>
      </c>
      <c r="M57" s="427">
        <f t="shared" si="9"/>
        <v>949442.397477842</v>
      </c>
      <c r="N57" s="427">
        <f t="shared" si="10"/>
        <v>8366713.87714914</v>
      </c>
      <c r="O57" s="447">
        <f t="shared" si="11"/>
        <v>360166829.562755</v>
      </c>
    </row>
    <row r="58" s="80" customFormat="1" ht="12.75" spans="1:15">
      <c r="A58" s="397"/>
      <c r="B58" s="422">
        <v>35</v>
      </c>
      <c r="C58" s="423">
        <f t="shared" si="0"/>
        <v>2059</v>
      </c>
      <c r="D58" s="418">
        <f>(+'III. Sit. Actual O-D'!U48)</f>
        <v>500783.85200934</v>
      </c>
      <c r="E58" s="426">
        <f t="shared" si="1"/>
        <v>43197527.0667808</v>
      </c>
      <c r="F58" s="427">
        <f t="shared" si="2"/>
        <v>58092424.7805014</v>
      </c>
      <c r="G58" s="427">
        <f t="shared" si="3"/>
        <v>9770869.21748614</v>
      </c>
      <c r="H58" s="427">
        <f t="shared" si="4"/>
        <v>92256303.16332</v>
      </c>
      <c r="I58" s="427">
        <f t="shared" si="5"/>
        <v>69849225.0336981</v>
      </c>
      <c r="J58" s="427">
        <f t="shared" si="6"/>
        <v>14782447.3771812</v>
      </c>
      <c r="K58" s="427">
        <f t="shared" si="7"/>
        <v>57499644.9358024</v>
      </c>
      <c r="L58" s="427">
        <f t="shared" si="8"/>
        <v>5034676.81431012</v>
      </c>
      <c r="M58" s="427">
        <f t="shared" si="9"/>
        <v>948447.751518389</v>
      </c>
      <c r="N58" s="427">
        <f t="shared" si="10"/>
        <v>8357948.81865385</v>
      </c>
      <c r="O58" s="447">
        <f t="shared" si="11"/>
        <v>359789514.959252</v>
      </c>
    </row>
    <row r="59" s="80" customFormat="1" ht="12.75" spans="1:15">
      <c r="A59" s="397"/>
      <c r="B59" s="422">
        <v>36</v>
      </c>
      <c r="C59" s="423">
        <f t="shared" si="0"/>
        <v>2060</v>
      </c>
      <c r="D59" s="418">
        <f>(+'III. Sit. Actual O-D'!U49)</f>
        <v>500095.800030742</v>
      </c>
      <c r="E59" s="426">
        <f t="shared" si="1"/>
        <v>43138175.8240249</v>
      </c>
      <c r="F59" s="427">
        <f t="shared" si="2"/>
        <v>58012608.6928791</v>
      </c>
      <c r="G59" s="427">
        <f t="shared" si="3"/>
        <v>9757444.53162468</v>
      </c>
      <c r="H59" s="427">
        <f t="shared" si="4"/>
        <v>92129547.6146437</v>
      </c>
      <c r="I59" s="427">
        <f t="shared" si="5"/>
        <v>69753255.6902475</v>
      </c>
      <c r="J59" s="427">
        <f t="shared" si="6"/>
        <v>14762137.0334559</v>
      </c>
      <c r="K59" s="427">
        <f t="shared" si="7"/>
        <v>57420643.2980539</v>
      </c>
      <c r="L59" s="427">
        <f t="shared" si="8"/>
        <v>5027759.42004952</v>
      </c>
      <c r="M59" s="427">
        <f t="shared" si="9"/>
        <v>947144.631720475</v>
      </c>
      <c r="N59" s="427">
        <f t="shared" si="10"/>
        <v>8346465.41478885</v>
      </c>
      <c r="O59" s="447">
        <f t="shared" si="11"/>
        <v>359295182.151489</v>
      </c>
    </row>
    <row r="60" s="80" customFormat="1" ht="12.75" spans="1:15">
      <c r="A60" s="397"/>
      <c r="B60" s="422">
        <v>37</v>
      </c>
      <c r="C60" s="423">
        <f t="shared" si="0"/>
        <v>2061</v>
      </c>
      <c r="D60" s="418">
        <f>(+'III. Sit. Actual O-D'!U50)</f>
        <v>499262.506884248</v>
      </c>
      <c r="E60" s="426">
        <f t="shared" si="1"/>
        <v>43066296.1036509</v>
      </c>
      <c r="F60" s="427">
        <f t="shared" si="2"/>
        <v>57915944.1953347</v>
      </c>
      <c r="G60" s="427">
        <f t="shared" si="3"/>
        <v>9741186.02344485</v>
      </c>
      <c r="H60" s="427">
        <f t="shared" si="4"/>
        <v>91976035.1864006</v>
      </c>
      <c r="I60" s="427">
        <f t="shared" si="5"/>
        <v>69637028.1396287</v>
      </c>
      <c r="J60" s="427">
        <f t="shared" si="6"/>
        <v>14737539.3711343</v>
      </c>
      <c r="K60" s="427">
        <f t="shared" si="7"/>
        <v>57324965.1729334</v>
      </c>
      <c r="L60" s="427">
        <f t="shared" si="8"/>
        <v>5019381.83026235</v>
      </c>
      <c r="M60" s="427">
        <f t="shared" si="9"/>
        <v>945566.4358422</v>
      </c>
      <c r="N60" s="427">
        <f t="shared" si="10"/>
        <v>8332557.97460005</v>
      </c>
      <c r="O60" s="447">
        <f t="shared" si="11"/>
        <v>358696500.433232</v>
      </c>
    </row>
    <row r="61" s="80" customFormat="1" ht="12.75" spans="1:15">
      <c r="A61" s="397"/>
      <c r="B61" s="422">
        <v>38</v>
      </c>
      <c r="C61" s="423">
        <f t="shared" si="0"/>
        <v>2062</v>
      </c>
      <c r="D61" s="418">
        <f>(+'III. Sit. Actual O-D'!U51)</f>
        <v>498304.919787597</v>
      </c>
      <c r="E61" s="426">
        <f t="shared" si="1"/>
        <v>42983694.8089797</v>
      </c>
      <c r="F61" s="427">
        <f t="shared" si="2"/>
        <v>57804861.2277834</v>
      </c>
      <c r="G61" s="427">
        <f t="shared" si="3"/>
        <v>9722502.39726923</v>
      </c>
      <c r="H61" s="427">
        <f t="shared" si="4"/>
        <v>91799624.8545989</v>
      </c>
      <c r="I61" s="427">
        <f t="shared" si="5"/>
        <v>69503464.095311</v>
      </c>
      <c r="J61" s="427">
        <f t="shared" si="6"/>
        <v>14709272.7231413</v>
      </c>
      <c r="K61" s="427">
        <f t="shared" si="7"/>
        <v>57215015.7050509</v>
      </c>
      <c r="L61" s="427">
        <f t="shared" si="8"/>
        <v>5009754.63974123</v>
      </c>
      <c r="M61" s="427">
        <f t="shared" si="9"/>
        <v>943752.836371974</v>
      </c>
      <c r="N61" s="427">
        <f t="shared" si="10"/>
        <v>8316576.10156022</v>
      </c>
      <c r="O61" s="447">
        <f t="shared" si="11"/>
        <v>358008519.389808</v>
      </c>
    </row>
    <row r="62" s="80" customFormat="1" ht="12.75" spans="1:15">
      <c r="A62" s="397"/>
      <c r="B62" s="428">
        <v>39</v>
      </c>
      <c r="C62" s="429">
        <f t="shared" si="0"/>
        <v>2063</v>
      </c>
      <c r="D62" s="430">
        <f>(+'III. Sit. Actual O-D'!U52)</f>
        <v>497245.909682606</v>
      </c>
      <c r="E62" s="431">
        <f t="shared" si="1"/>
        <v>42892344.7834333</v>
      </c>
      <c r="F62" s="432">
        <f t="shared" si="2"/>
        <v>57682012.8878877</v>
      </c>
      <c r="G62" s="432">
        <f t="shared" si="3"/>
        <v>9701839.89149086</v>
      </c>
      <c r="H62" s="432">
        <f t="shared" si="4"/>
        <v>91604529.9910025</v>
      </c>
      <c r="I62" s="432">
        <f t="shared" si="5"/>
        <v>69355753.5913887</v>
      </c>
      <c r="J62" s="432">
        <f t="shared" si="6"/>
        <v>14678012.2080786</v>
      </c>
      <c r="K62" s="432">
        <f t="shared" si="7"/>
        <v>57093420.9196439</v>
      </c>
      <c r="L62" s="432">
        <f t="shared" si="8"/>
        <v>4999107.78361693</v>
      </c>
      <c r="M62" s="432">
        <f t="shared" si="9"/>
        <v>941747.149190002</v>
      </c>
      <c r="N62" s="432">
        <f t="shared" si="10"/>
        <v>8298901.50558346</v>
      </c>
      <c r="O62" s="448">
        <f t="shared" si="11"/>
        <v>357247670.711316</v>
      </c>
    </row>
    <row r="63" s="319" customFormat="1" ht="12.75" spans="1:16">
      <c r="A63" s="433"/>
      <c r="B63" s="434"/>
      <c r="C63" s="434" t="s">
        <v>170</v>
      </c>
      <c r="D63" s="435">
        <f>SUM(D23:D62)</f>
        <v>19207104.2538969</v>
      </c>
      <c r="E63" s="436">
        <f t="shared" ref="E63:O63" si="12">SUM(E23:E62)</f>
        <v>1583114684.73322</v>
      </c>
      <c r="F63" s="436">
        <f t="shared" si="12"/>
        <v>2128986934.82143</v>
      </c>
      <c r="G63" s="436">
        <f t="shared" si="12"/>
        <v>358085464.403942</v>
      </c>
      <c r="H63" s="436">
        <f t="shared" si="12"/>
        <v>3381034013.15689</v>
      </c>
      <c r="I63" s="436">
        <f t="shared" si="12"/>
        <v>2559853338.2972</v>
      </c>
      <c r="J63" s="436">
        <f t="shared" si="12"/>
        <v>541751139.664382</v>
      </c>
      <c r="K63" s="436">
        <f t="shared" si="12"/>
        <v>2107262578.34366</v>
      </c>
      <c r="L63" s="436">
        <f t="shared" si="12"/>
        <v>184512201.017857</v>
      </c>
      <c r="M63" s="436">
        <f t="shared" si="12"/>
        <v>34758970.3644315</v>
      </c>
      <c r="N63" s="436">
        <f t="shared" si="12"/>
        <v>306304374.521354</v>
      </c>
      <c r="O63" s="436">
        <f t="shared" si="12"/>
        <v>13185663699.3244</v>
      </c>
      <c r="P63" s="449"/>
    </row>
    <row r="64" s="80" customFormat="1" ht="12.75" spans="1:17">
      <c r="A64" s="397"/>
      <c r="B64" s="437" t="s">
        <v>392</v>
      </c>
      <c r="C64" s="438"/>
      <c r="D64" s="439"/>
      <c r="E64" s="440"/>
      <c r="F64" s="440"/>
      <c r="G64" s="440"/>
      <c r="H64" s="440"/>
      <c r="I64" s="440"/>
      <c r="J64" s="440"/>
      <c r="K64" s="440"/>
      <c r="L64" s="440"/>
      <c r="M64" s="440"/>
      <c r="N64" s="440"/>
      <c r="O64" s="450"/>
      <c r="P64" s="449"/>
      <c r="Q64" s="451"/>
    </row>
    <row r="65" s="80" customFormat="1" ht="12.75" spans="1:17">
      <c r="A65" s="397"/>
      <c r="B65" s="437"/>
      <c r="D65" s="410"/>
      <c r="E65" s="452"/>
      <c r="F65" s="453"/>
      <c r="G65" s="454"/>
      <c r="H65" s="454"/>
      <c r="I65" s="454"/>
      <c r="J65" s="472"/>
      <c r="K65" s="454"/>
      <c r="L65" s="454"/>
      <c r="M65" s="454"/>
      <c r="N65" s="454"/>
      <c r="O65" s="473"/>
      <c r="Q65" s="451"/>
    </row>
    <row r="66" s="80" customFormat="1" ht="12.75" spans="1:17">
      <c r="A66" s="397"/>
      <c r="B66" s="438"/>
      <c r="C66" s="438"/>
      <c r="D66" s="410"/>
      <c r="E66" s="452"/>
      <c r="F66" s="453"/>
      <c r="G66" s="454"/>
      <c r="H66" s="454"/>
      <c r="I66" s="454"/>
      <c r="J66" s="472"/>
      <c r="K66" s="454"/>
      <c r="L66" s="454"/>
      <c r="M66" s="454"/>
      <c r="N66" s="454"/>
      <c r="O66" s="473"/>
      <c r="Q66" s="451"/>
    </row>
    <row r="67" s="80" customFormat="1" ht="12.75" spans="1:16">
      <c r="A67" s="397"/>
      <c r="B67" s="455" t="s">
        <v>793</v>
      </c>
      <c r="C67" s="455"/>
      <c r="D67" s="455"/>
      <c r="E67" s="455"/>
      <c r="F67" s="455"/>
      <c r="G67" s="455"/>
      <c r="H67" s="455"/>
      <c r="I67" s="455"/>
      <c r="J67" s="455"/>
      <c r="K67" s="455"/>
      <c r="L67" s="455"/>
      <c r="M67" s="455"/>
      <c r="N67" s="455"/>
      <c r="O67" s="455"/>
      <c r="P67" s="455"/>
    </row>
    <row r="68" s="80" customFormat="1" ht="12.75" spans="1:13">
      <c r="A68" s="397"/>
      <c r="B68" s="397"/>
      <c r="C68" s="397"/>
      <c r="D68" s="397"/>
      <c r="E68" s="397"/>
      <c r="F68" s="397"/>
      <c r="G68" s="397"/>
      <c r="H68" s="397"/>
      <c r="I68" s="397"/>
      <c r="J68" s="397"/>
      <c r="K68" s="397"/>
      <c r="L68" s="397"/>
      <c r="M68" s="397"/>
    </row>
    <row r="69" s="80" customFormat="1" ht="12.75" spans="1:7">
      <c r="A69" s="456"/>
      <c r="B69" s="399" t="s">
        <v>794</v>
      </c>
      <c r="C69" s="397"/>
      <c r="D69" s="397"/>
      <c r="E69" s="457"/>
      <c r="F69" s="457"/>
      <c r="G69" s="456"/>
    </row>
    <row r="70" s="80" customFormat="1" ht="38.25" spans="1:14">
      <c r="A70" s="397"/>
      <c r="B70" s="415" t="s">
        <v>200</v>
      </c>
      <c r="C70" s="415"/>
      <c r="D70" s="415" t="s">
        <v>795</v>
      </c>
      <c r="E70" s="415" t="s">
        <v>796</v>
      </c>
      <c r="F70" s="415" t="s">
        <v>797</v>
      </c>
      <c r="G70" s="415" t="s">
        <v>798</v>
      </c>
      <c r="H70" s="415" t="s">
        <v>799</v>
      </c>
      <c r="I70" s="415" t="s">
        <v>800</v>
      </c>
      <c r="J70" s="397"/>
      <c r="K70" s="474"/>
      <c r="L70" s="475"/>
      <c r="M70" s="474"/>
      <c r="N70" s="476"/>
    </row>
    <row r="71" s="80" customFormat="1" ht="12.75" spans="1:14">
      <c r="A71" s="397"/>
      <c r="B71" s="458">
        <v>0</v>
      </c>
      <c r="C71" s="458">
        <v>2024</v>
      </c>
      <c r="D71" s="459">
        <f>+'V.3 Capacidad Planta de CDR'!D15</f>
        <v>0</v>
      </c>
      <c r="E71" s="459">
        <v>0</v>
      </c>
      <c r="F71" s="459">
        <v>0</v>
      </c>
      <c r="G71" s="459">
        <v>0</v>
      </c>
      <c r="H71" s="459">
        <v>0</v>
      </c>
      <c r="I71" s="459">
        <f>+H71+G71</f>
        <v>0</v>
      </c>
      <c r="J71" s="477"/>
      <c r="K71" s="474"/>
      <c r="L71" s="475"/>
      <c r="M71" s="474"/>
      <c r="N71" s="476"/>
    </row>
    <row r="72" s="80" customFormat="1" ht="12.75" spans="1:14">
      <c r="A72" s="397"/>
      <c r="B72" s="416">
        <v>1</v>
      </c>
      <c r="C72" s="416">
        <v>2025</v>
      </c>
      <c r="D72" s="460">
        <f>+'V.3 Capacidad Planta de CDR'!D16</f>
        <v>0</v>
      </c>
      <c r="E72" s="460">
        <f>+D72*'II. Caracterizacion RSU'!$F$115</f>
        <v>0</v>
      </c>
      <c r="F72" s="460">
        <f>+D72*'II. Caracterizacion RSU'!$F$117</f>
        <v>0</v>
      </c>
      <c r="G72" s="460">
        <f>+E72*'I. Parametros Grales'!$J$144</f>
        <v>0</v>
      </c>
      <c r="H72" s="460">
        <f>+F72*'I. Parametros Grales'!$J$145</f>
        <v>0</v>
      </c>
      <c r="I72" s="460">
        <f>+(H72+G72)*0.25</f>
        <v>0</v>
      </c>
      <c r="J72" s="477"/>
      <c r="K72" s="478"/>
      <c r="L72" s="478"/>
      <c r="M72" s="478"/>
      <c r="N72" s="478"/>
    </row>
    <row r="73" s="80" customFormat="1" ht="12.75" spans="1:10">
      <c r="A73" s="397"/>
      <c r="B73" s="422">
        <v>2</v>
      </c>
      <c r="C73" s="422">
        <v>2026</v>
      </c>
      <c r="D73" s="461">
        <f>+'V.3 Capacidad Planta de CDR'!D17</f>
        <v>340795.823872859</v>
      </c>
      <c r="E73" s="460">
        <f>+D73*'II. Caracterizacion RSU'!$F$115</f>
        <v>125076.780509873</v>
      </c>
      <c r="F73" s="460">
        <f>+D73*'II. Caracterizacion RSU'!$F$117</f>
        <v>62442.323678271</v>
      </c>
      <c r="G73" s="462">
        <f>+E73*'I. Parametros Grales'!$J$144</f>
        <v>18761517.0764809</v>
      </c>
      <c r="H73" s="462">
        <f>+F73*'I. Parametros Grales'!$J$145</f>
        <v>18732697.1034813</v>
      </c>
      <c r="I73" s="479">
        <f t="shared" ref="I73:I110" si="13">+H73+G73</f>
        <v>37494214.1799622</v>
      </c>
      <c r="J73" s="477"/>
    </row>
    <row r="74" s="80" customFormat="1" ht="12.75" spans="1:10">
      <c r="A74" s="397"/>
      <c r="B74" s="422">
        <v>3</v>
      </c>
      <c r="C74" s="422">
        <f t="shared" ref="C74:C110" si="14">C73+1</f>
        <v>2027</v>
      </c>
      <c r="D74" s="461">
        <f>+'V.3 Capacidad Planta de CDR'!D18</f>
        <v>344389.042103524</v>
      </c>
      <c r="E74" s="460">
        <f>+D74*'II. Caracterizacion RSU'!$F$115</f>
        <v>126395.541294127</v>
      </c>
      <c r="F74" s="460">
        <f>+D74*'II. Caracterizacion RSU'!$F$117</f>
        <v>63100.6911818868</v>
      </c>
      <c r="G74" s="462">
        <f>+E74*'I. Parametros Grales'!$J$144</f>
        <v>18959331.194119</v>
      </c>
      <c r="H74" s="462">
        <f>+F74*'I. Parametros Grales'!$J$145</f>
        <v>18930207.354566</v>
      </c>
      <c r="I74" s="479">
        <f t="shared" si="13"/>
        <v>37889538.548685</v>
      </c>
      <c r="J74" s="477"/>
    </row>
    <row r="75" s="80" customFormat="1" ht="12.75" spans="1:10">
      <c r="A75" s="397"/>
      <c r="B75" s="422">
        <v>4</v>
      </c>
      <c r="C75" s="422">
        <f t="shared" si="14"/>
        <v>2028</v>
      </c>
      <c r="D75" s="461">
        <f>+'V.3 Capacidad Planta de CDR'!D19</f>
        <v>347761.817497952</v>
      </c>
      <c r="E75" s="460">
        <f>+D75*'II. Caracterizacion RSU'!$F$115</f>
        <v>127633.396508794</v>
      </c>
      <c r="F75" s="460">
        <f>+D75*'II. Caracterizacion RSU'!$F$117</f>
        <v>63718.668041109</v>
      </c>
      <c r="G75" s="462">
        <f>+E75*'I. Parametros Grales'!$J$144</f>
        <v>19145009.4763191</v>
      </c>
      <c r="H75" s="462">
        <f>+F75*'I. Parametros Grales'!$J$145</f>
        <v>19115600.4123327</v>
      </c>
      <c r="I75" s="479">
        <f t="shared" si="13"/>
        <v>38260609.8886518</v>
      </c>
      <c r="J75" s="477"/>
    </row>
    <row r="76" s="80" customFormat="1" ht="12.75" spans="1:10">
      <c r="A76" s="397"/>
      <c r="B76" s="422">
        <v>5</v>
      </c>
      <c r="C76" s="422">
        <f t="shared" si="14"/>
        <v>2029</v>
      </c>
      <c r="D76" s="461">
        <f>+'V.3 Capacidad Planta de CDR'!D20</f>
        <v>350931.835774183</v>
      </c>
      <c r="E76" s="460">
        <f>+D76*'II. Caracterizacion RSU'!$F$115</f>
        <v>128796.837056987</v>
      </c>
      <c r="F76" s="460">
        <f>+D76*'II. Caracterizacion RSU'!$F$117</f>
        <v>64299.4947220847</v>
      </c>
      <c r="G76" s="462">
        <f>+E76*'I. Parametros Grales'!$J$144</f>
        <v>19319525.5585481</v>
      </c>
      <c r="H76" s="462">
        <f>+F76*'I. Parametros Grales'!$J$145</f>
        <v>19289848.4166254</v>
      </c>
      <c r="I76" s="479">
        <f t="shared" si="13"/>
        <v>38609373.9751735</v>
      </c>
      <c r="J76" s="477"/>
    </row>
    <row r="77" s="80" customFormat="1" ht="12.75" spans="1:10">
      <c r="A77" s="397"/>
      <c r="B77" s="422">
        <v>6</v>
      </c>
      <c r="C77" s="422">
        <f t="shared" si="14"/>
        <v>2030</v>
      </c>
      <c r="D77" s="461">
        <f>+'V.3 Capacidad Planta de CDR'!D21</f>
        <v>353930.696532697</v>
      </c>
      <c r="E77" s="460">
        <f>+D77*'II. Caracterizacion RSU'!$F$115</f>
        <v>129897.460429098</v>
      </c>
      <c r="F77" s="460">
        <f>+D77*'II. Caracterizacion RSU'!$F$117</f>
        <v>64848.9610624324</v>
      </c>
      <c r="G77" s="462">
        <f>+E77*'I. Parametros Grales'!$J$144</f>
        <v>19484619.0643647</v>
      </c>
      <c r="H77" s="462">
        <f>+F77*'I. Parametros Grales'!$J$145</f>
        <v>19454688.3187297</v>
      </c>
      <c r="I77" s="479">
        <f t="shared" si="13"/>
        <v>38939307.3830944</v>
      </c>
      <c r="J77" s="477"/>
    </row>
    <row r="78" s="80" customFormat="1" ht="12.75" spans="1:10">
      <c r="A78" s="397"/>
      <c r="B78" s="422">
        <v>7</v>
      </c>
      <c r="C78" s="422">
        <f t="shared" si="14"/>
        <v>2031</v>
      </c>
      <c r="D78" s="461">
        <f>+'V.3 Capacidad Planta de CDR'!D22</f>
        <v>356791.591926783</v>
      </c>
      <c r="E78" s="460">
        <f>+D78*'II. Caracterizacion RSU'!$F$115</f>
        <v>130947.448604426</v>
      </c>
      <c r="F78" s="460">
        <f>+D78*'II. Caracterizacion RSU'!$F$117</f>
        <v>65373.1486953003</v>
      </c>
      <c r="G78" s="462">
        <f>+E78*'I. Parametros Grales'!$J$144</f>
        <v>19642117.290664</v>
      </c>
      <c r="H78" s="462">
        <f>+F78*'I. Parametros Grales'!$J$145</f>
        <v>19611944.6085901</v>
      </c>
      <c r="I78" s="479">
        <f t="shared" si="13"/>
        <v>39254061.8992541</v>
      </c>
      <c r="J78" s="477"/>
    </row>
    <row r="79" s="80" customFormat="1" ht="12.75" spans="1:17">
      <c r="A79" s="397"/>
      <c r="B79" s="422">
        <v>8</v>
      </c>
      <c r="C79" s="422">
        <f t="shared" si="14"/>
        <v>2032</v>
      </c>
      <c r="D79" s="461">
        <f>+'V.3 Capacidad Planta de CDR'!D23</f>
        <v>359544.361366973</v>
      </c>
      <c r="E79" s="460">
        <f>+D79*'II. Caracterizacion RSU'!$F$115</f>
        <v>131957.753059311</v>
      </c>
      <c r="F79" s="460">
        <f>+D79*'II. Caracterizacion RSU'!$F$117</f>
        <v>65877.5249474581</v>
      </c>
      <c r="G79" s="462">
        <f>+E79*'I. Parametros Grales'!$J$144</f>
        <v>19793662.9588967</v>
      </c>
      <c r="H79" s="462">
        <f>+F79*'I. Parametros Grales'!$J$145</f>
        <v>19763257.4842374</v>
      </c>
      <c r="I79" s="479">
        <f t="shared" si="13"/>
        <v>39556920.4431341</v>
      </c>
      <c r="J79" s="477"/>
      <c r="Q79" s="397"/>
    </row>
    <row r="80" s="80" customFormat="1" ht="12.75" spans="1:17">
      <c r="A80" s="397"/>
      <c r="B80" s="422">
        <v>9</v>
      </c>
      <c r="C80" s="422">
        <f t="shared" si="14"/>
        <v>2033</v>
      </c>
      <c r="D80" s="461">
        <f>+'V.3 Capacidad Planta de CDR'!D24</f>
        <v>362216.245888163</v>
      </c>
      <c r="E80" s="460">
        <f>+D80*'II. Caracterizacion RSU'!$F$115</f>
        <v>132938.371630299</v>
      </c>
      <c r="F80" s="460">
        <f>+D80*'II. Caracterizacion RSU'!$F$117</f>
        <v>66367.0810582318</v>
      </c>
      <c r="G80" s="462">
        <f>+E80*'I. Parametros Grales'!$J$144</f>
        <v>19940755.7445448</v>
      </c>
      <c r="H80" s="462">
        <f>+F80*'I. Parametros Grales'!$J$145</f>
        <v>19910124.3174695</v>
      </c>
      <c r="I80" s="479">
        <f t="shared" si="13"/>
        <v>39850880.0620143</v>
      </c>
      <c r="J80" s="477"/>
      <c r="Q80" s="397"/>
    </row>
    <row r="81" s="80" customFormat="1" ht="12.75" spans="1:17">
      <c r="A81" s="397"/>
      <c r="B81" s="422">
        <v>10</v>
      </c>
      <c r="C81" s="422">
        <f t="shared" si="14"/>
        <v>2034</v>
      </c>
      <c r="D81" s="461">
        <f>+'V.3 Capacidad Planta de CDR'!D25</f>
        <v>364832.558698165</v>
      </c>
      <c r="E81" s="460">
        <f>+D81*'II. Caracterizacion RSU'!$F$115</f>
        <v>133898.594614733</v>
      </c>
      <c r="F81" s="460">
        <f>+D81*'II. Caracterizacion RSU'!$F$117</f>
        <v>66846.4550407801</v>
      </c>
      <c r="G81" s="462">
        <f>+E81*'I. Parametros Grales'!$J$144</f>
        <v>20084789.1922099</v>
      </c>
      <c r="H81" s="462">
        <f>+F81*'I. Parametros Grales'!$J$145</f>
        <v>20053936.512234</v>
      </c>
      <c r="I81" s="479">
        <f t="shared" si="13"/>
        <v>40138725.7044439</v>
      </c>
      <c r="J81" s="477"/>
      <c r="Q81" s="397"/>
    </row>
    <row r="82" s="80" customFormat="1" ht="12.75" spans="1:17">
      <c r="A82" s="397"/>
      <c r="B82" s="422">
        <v>11</v>
      </c>
      <c r="C82" s="422">
        <f t="shared" si="14"/>
        <v>2035</v>
      </c>
      <c r="D82" s="461">
        <f>+'V.3 Capacidad Planta de CDR'!D26</f>
        <v>367402.184565284</v>
      </c>
      <c r="E82" s="460">
        <f>+D82*'II. Caracterizacion RSU'!$F$115</f>
        <v>134841.682845456</v>
      </c>
      <c r="F82" s="460">
        <f>+D82*'II. Caracterizacion RSU'!$F$117</f>
        <v>67317.2748070062</v>
      </c>
      <c r="G82" s="462">
        <f>+E82*'I. Parametros Grales'!$J$144</f>
        <v>20226252.4268184</v>
      </c>
      <c r="H82" s="462">
        <f>+F82*'I. Parametros Grales'!$J$145</f>
        <v>20195182.4421019</v>
      </c>
      <c r="I82" s="479">
        <f t="shared" si="13"/>
        <v>40421434.8689202</v>
      </c>
      <c r="J82" s="477"/>
      <c r="Q82" s="397"/>
    </row>
    <row r="83" s="80" customFormat="1" ht="12.75" spans="1:17">
      <c r="A83" s="397"/>
      <c r="B83" s="422">
        <v>12</v>
      </c>
      <c r="C83" s="422">
        <f t="shared" si="14"/>
        <v>2036</v>
      </c>
      <c r="D83" s="461">
        <f>+'V.3 Capacidad Planta de CDR'!D27</f>
        <v>369929.901147946</v>
      </c>
      <c r="E83" s="460">
        <f>+D83*'II. Caracterizacion RSU'!$F$115</f>
        <v>135769.389789185</v>
      </c>
      <c r="F83" s="460">
        <f>+D83*'II. Caracterizacion RSU'!$F$117</f>
        <v>67780.4157434998</v>
      </c>
      <c r="G83" s="462">
        <f>+E83*'I. Parametros Grales'!$J$144</f>
        <v>20365408.4683778</v>
      </c>
      <c r="H83" s="462">
        <f>+F83*'I. Parametros Grales'!$J$145</f>
        <v>20334124.7230499</v>
      </c>
      <c r="I83" s="479">
        <f t="shared" si="13"/>
        <v>40699533.1914277</v>
      </c>
      <c r="J83" s="477"/>
      <c r="Q83" s="397"/>
    </row>
    <row r="84" s="80" customFormat="1" ht="12.75" spans="1:17">
      <c r="A84" s="397"/>
      <c r="B84" s="422">
        <v>13</v>
      </c>
      <c r="C84" s="422">
        <f t="shared" si="14"/>
        <v>2037</v>
      </c>
      <c r="D84" s="461">
        <f>+'V.3 Capacidad Planta de CDR'!D28</f>
        <v>372404.057665075</v>
      </c>
      <c r="E84" s="460">
        <f>+D84*'II. Caracterizacion RSU'!$F$115</f>
        <v>136677.439448137</v>
      </c>
      <c r="F84" s="460">
        <f>+D84*'II. Caracterizacion RSU'!$F$117</f>
        <v>68233.743135595</v>
      </c>
      <c r="G84" s="462">
        <f>+E84*'I. Parametros Grales'!$J$144</f>
        <v>20501615.9172205</v>
      </c>
      <c r="H84" s="462">
        <f>+F84*'I. Parametros Grales'!$J$145</f>
        <v>20470122.9406785</v>
      </c>
      <c r="I84" s="479">
        <f t="shared" si="13"/>
        <v>40971738.857899</v>
      </c>
      <c r="J84" s="477"/>
      <c r="Q84" s="397"/>
    </row>
    <row r="85" s="80" customFormat="1" ht="12.75" spans="1:17">
      <c r="A85" s="397"/>
      <c r="B85" s="422">
        <v>14</v>
      </c>
      <c r="C85" s="422">
        <f t="shared" si="14"/>
        <v>2038</v>
      </c>
      <c r="D85" s="461">
        <f>+'V.3 Capacidad Planta de CDR'!D29</f>
        <v>374796.910170359</v>
      </c>
      <c r="E85" s="460">
        <f>+D85*'II. Caracterizacion RSU'!$F$115</f>
        <v>137555.649410321</v>
      </c>
      <c r="F85" s="460">
        <f>+D85*'II. Caracterizacion RSU'!$F$117</f>
        <v>68672.173598009</v>
      </c>
      <c r="G85" s="462">
        <f>+E85*'I. Parametros Grales'!$J$144</f>
        <v>20633347.4115482</v>
      </c>
      <c r="H85" s="462">
        <f>+F85*'I. Parametros Grales'!$J$145</f>
        <v>20601652.0794027</v>
      </c>
      <c r="I85" s="479">
        <f t="shared" si="13"/>
        <v>41234999.4909509</v>
      </c>
      <c r="J85" s="477"/>
      <c r="Q85" s="397"/>
    </row>
    <row r="86" s="80" customFormat="1" ht="12.75" spans="1:17">
      <c r="A86" s="397"/>
      <c r="B86" s="422">
        <v>15</v>
      </c>
      <c r="C86" s="422">
        <f t="shared" si="14"/>
        <v>2039</v>
      </c>
      <c r="D86" s="461">
        <f>+'V.3 Capacidad Planta de CDR'!D30</f>
        <v>377072.332860598</v>
      </c>
      <c r="E86" s="460">
        <f>+D86*'II. Caracterizacion RSU'!$F$115</f>
        <v>138390.761006349</v>
      </c>
      <c r="F86" s="460">
        <f>+D86*'II. Caracterizacion RSU'!$F$117</f>
        <v>69089.0879795121</v>
      </c>
      <c r="G86" s="462">
        <f>+E86*'I. Parametros Grales'!$J$144</f>
        <v>20758614.1509524</v>
      </c>
      <c r="H86" s="462">
        <f>+F86*'I. Parametros Grales'!$J$145</f>
        <v>20726726.3938536</v>
      </c>
      <c r="I86" s="479">
        <f t="shared" si="13"/>
        <v>41485340.544806</v>
      </c>
      <c r="J86" s="477"/>
      <c r="Q86" s="397"/>
    </row>
    <row r="87" s="80" customFormat="1" ht="12.75" spans="1:17">
      <c r="A87" s="397"/>
      <c r="B87" s="422">
        <v>16</v>
      </c>
      <c r="C87" s="422">
        <f t="shared" si="14"/>
        <v>2040</v>
      </c>
      <c r="D87" s="461">
        <f>+'V.3 Capacidad Planta de CDR'!D31</f>
        <v>379193.948476885</v>
      </c>
      <c r="E87" s="460">
        <f>+D87*'II. Caracterizacion RSU'!$F$115</f>
        <v>139169.423279111</v>
      </c>
      <c r="F87" s="460">
        <f>+D87*'II. Caracterizacion RSU'!$F$117</f>
        <v>69477.8210558964</v>
      </c>
      <c r="G87" s="462">
        <f>+E87*'I. Parametros Grales'!$J$144</f>
        <v>20875413.4918667</v>
      </c>
      <c r="H87" s="462">
        <f>+F87*'I. Parametros Grales'!$J$145</f>
        <v>20843346.3167689</v>
      </c>
      <c r="I87" s="479">
        <f t="shared" si="13"/>
        <v>41718759.8086356</v>
      </c>
      <c r="J87" s="477"/>
      <c r="Q87" s="397"/>
    </row>
    <row r="88" s="80" customFormat="1" ht="12.75" spans="1:17">
      <c r="A88" s="397"/>
      <c r="B88" s="422">
        <v>17</v>
      </c>
      <c r="C88" s="422">
        <f t="shared" si="14"/>
        <v>2041</v>
      </c>
      <c r="D88" s="461">
        <f>+'V.3 Capacidad Planta de CDR'!D32</f>
        <v>381130.325055877</v>
      </c>
      <c r="E88" s="460">
        <f>+D88*'II. Caracterizacion RSU'!$F$115</f>
        <v>139880.100263362</v>
      </c>
      <c r="F88" s="460">
        <f>+D88*'II. Caracterizacion RSU'!$F$117</f>
        <v>69832.6137048626</v>
      </c>
      <c r="G88" s="462">
        <f>+E88*'I. Parametros Grales'!$J$144</f>
        <v>20982015.0395043</v>
      </c>
      <c r="H88" s="462">
        <f>+F88*'I. Parametros Grales'!$J$145</f>
        <v>20949784.1114588</v>
      </c>
      <c r="I88" s="479">
        <f t="shared" si="13"/>
        <v>41931799.150963</v>
      </c>
      <c r="J88" s="477"/>
      <c r="Q88" s="397"/>
    </row>
    <row r="89" s="80" customFormat="1" ht="12.75" spans="1:17">
      <c r="A89" s="397"/>
      <c r="B89" s="422">
        <v>18</v>
      </c>
      <c r="C89" s="422">
        <f t="shared" si="14"/>
        <v>2042</v>
      </c>
      <c r="D89" s="461">
        <f>+'V.3 Capacidad Planta de CDR'!D33</f>
        <v>382871.404369306</v>
      </c>
      <c r="E89" s="460">
        <f>+D89*'II. Caracterizacion RSU'!$F$115</f>
        <v>140519.100450222</v>
      </c>
      <c r="F89" s="460">
        <f>+D89*'II. Caracterizacion RSU'!$F$117</f>
        <v>70151.6230072748</v>
      </c>
      <c r="G89" s="462">
        <f>+E89*'I. Parametros Grales'!$J$144</f>
        <v>21077865.0675333</v>
      </c>
      <c r="H89" s="462">
        <f>+F89*'I. Parametros Grales'!$J$145</f>
        <v>21045486.9021824</v>
      </c>
      <c r="I89" s="479">
        <f t="shared" si="13"/>
        <v>42123351.9697158</v>
      </c>
      <c r="J89" s="477"/>
      <c r="Q89" s="397"/>
    </row>
    <row r="90" s="80" customFormat="1" ht="12.75" spans="1:17">
      <c r="A90" s="397"/>
      <c r="B90" s="422">
        <v>19</v>
      </c>
      <c r="C90" s="422">
        <f t="shared" si="14"/>
        <v>2043</v>
      </c>
      <c r="D90" s="461">
        <f>+'V.3 Capacidad Planta de CDR'!D34</f>
        <v>384416.432050051</v>
      </c>
      <c r="E90" s="460">
        <f>+D90*'II. Caracterizacion RSU'!$F$115</f>
        <v>141086.146976527</v>
      </c>
      <c r="F90" s="460">
        <f>+D90*'II. Caracterizacion RSU'!$F$117</f>
        <v>70434.7107441977</v>
      </c>
      <c r="G90" s="462">
        <f>+E90*'I. Parametros Grales'!$J$144</f>
        <v>21162922.046479</v>
      </c>
      <c r="H90" s="462">
        <f>+F90*'I. Parametros Grales'!$J$145</f>
        <v>21130413.2232593</v>
      </c>
      <c r="I90" s="479">
        <f t="shared" si="13"/>
        <v>42293335.2697383</v>
      </c>
      <c r="J90" s="477"/>
      <c r="Q90" s="397"/>
    </row>
    <row r="91" s="80" customFormat="1" ht="12.75" spans="1:17">
      <c r="A91" s="397"/>
      <c r="B91" s="422">
        <v>20</v>
      </c>
      <c r="C91" s="422">
        <f t="shared" si="14"/>
        <v>2044</v>
      </c>
      <c r="D91" s="461">
        <f>+'V.3 Capacidad Planta de CDR'!D35</f>
        <v>385782.926179014</v>
      </c>
      <c r="E91" s="460">
        <f>+D91*'II. Caracterizacion RSU'!$F$115</f>
        <v>141587.669220239</v>
      </c>
      <c r="F91" s="460">
        <f>+D91*'II. Caracterizacion RSU'!$F$117</f>
        <v>70685.0866664597</v>
      </c>
      <c r="G91" s="462">
        <f>+E91*'I. Parametros Grales'!$J$144</f>
        <v>21238150.3830358</v>
      </c>
      <c r="H91" s="462">
        <f>+F91*'I. Parametros Grales'!$J$145</f>
        <v>21205525.9999379</v>
      </c>
      <c r="I91" s="479">
        <f t="shared" si="13"/>
        <v>42443676.3829737</v>
      </c>
      <c r="J91" s="477"/>
      <c r="Q91" s="397"/>
    </row>
    <row r="92" s="80" customFormat="1" ht="12.75" spans="1:17">
      <c r="A92" s="397"/>
      <c r="B92" s="422">
        <v>21</v>
      </c>
      <c r="C92" s="422">
        <f t="shared" si="14"/>
        <v>2045</v>
      </c>
      <c r="D92" s="461">
        <f>+'V.3 Capacidad Planta de CDR'!D36</f>
        <v>386986.560828583</v>
      </c>
      <c r="E92" s="460">
        <f>+D92*'II. Caracterizacion RSU'!$F$115</f>
        <v>142029.419782694</v>
      </c>
      <c r="F92" s="460">
        <f>+D92*'II. Caracterizacion RSU'!$F$117</f>
        <v>70905.6226563807</v>
      </c>
      <c r="G92" s="462">
        <f>+E92*'I. Parametros Grales'!$J$144</f>
        <v>21304412.9674041</v>
      </c>
      <c r="H92" s="462">
        <f>+F92*'I. Parametros Grales'!$J$145</f>
        <v>21271686.7969142</v>
      </c>
      <c r="I92" s="479">
        <f t="shared" si="13"/>
        <v>42576099.7643183</v>
      </c>
      <c r="J92" s="477"/>
      <c r="Q92" s="397"/>
    </row>
    <row r="93" s="80" customFormat="1" ht="12.75" spans="1:15">
      <c r="A93" s="397"/>
      <c r="B93" s="422">
        <v>22</v>
      </c>
      <c r="C93" s="422">
        <f t="shared" si="14"/>
        <v>2046</v>
      </c>
      <c r="D93" s="461">
        <f>+'V.3 Capacidad Planta de CDR'!D37</f>
        <v>388050.972835189</v>
      </c>
      <c r="E93" s="460">
        <f>+D93*'II. Caracterizacion RSU'!$F$115</f>
        <v>142420.073709756</v>
      </c>
      <c r="F93" s="460">
        <f>+D93*'II. Caracterizacion RSU'!$F$117</f>
        <v>71100.6495739299</v>
      </c>
      <c r="G93" s="462">
        <f>+E93*'I. Parametros Grales'!$J$144</f>
        <v>21363011.0564634</v>
      </c>
      <c r="H93" s="462">
        <f>+F93*'I. Parametros Grales'!$J$145</f>
        <v>21330194.872179</v>
      </c>
      <c r="I93" s="479">
        <f t="shared" si="13"/>
        <v>42693205.9286424</v>
      </c>
      <c r="O93" s="397"/>
    </row>
    <row r="94" s="80" customFormat="1" ht="12.75" spans="1:15">
      <c r="A94" s="397"/>
      <c r="B94" s="422">
        <v>23</v>
      </c>
      <c r="C94" s="422">
        <f t="shared" si="14"/>
        <v>2047</v>
      </c>
      <c r="D94" s="461">
        <f>+'V.3 Capacidad Planta de CDR'!D38</f>
        <v>388999.379942422</v>
      </c>
      <c r="E94" s="460">
        <f>+D94*'II. Caracterizacion RSU'!$F$115</f>
        <v>142768.15223442</v>
      </c>
      <c r="F94" s="460">
        <f>+D94*'II. Caracterizacion RSU'!$F$117</f>
        <v>71274.4214907792</v>
      </c>
      <c r="G94" s="462">
        <f>+E94*'I. Parametros Grales'!$J$144</f>
        <v>21415222.835163</v>
      </c>
      <c r="H94" s="462">
        <f>+F94*'I. Parametros Grales'!$J$145</f>
        <v>21382326.4472338</v>
      </c>
      <c r="I94" s="479">
        <f t="shared" si="13"/>
        <v>42797549.2823968</v>
      </c>
      <c r="J94" s="480"/>
      <c r="K94" s="480"/>
      <c r="L94" s="480"/>
      <c r="M94" s="480"/>
      <c r="N94" s="480"/>
      <c r="O94" s="480"/>
    </row>
    <row r="95" s="80" customFormat="1" ht="12.75" spans="1:15">
      <c r="A95" s="397"/>
      <c r="B95" s="422">
        <v>24</v>
      </c>
      <c r="C95" s="422">
        <f t="shared" si="14"/>
        <v>2048</v>
      </c>
      <c r="D95" s="461">
        <f>+'V.3 Capacidad Planta de CDR'!D39</f>
        <v>389852.820611079</v>
      </c>
      <c r="E95" s="460">
        <f>+D95*'II. Caracterizacion RSU'!$F$115</f>
        <v>143081.376762757</v>
      </c>
      <c r="F95" s="460">
        <f>+D95*'II. Caracterizacion RSU'!$F$117</f>
        <v>71430.7931794544</v>
      </c>
      <c r="G95" s="462">
        <f>+E95*'I. Parametros Grales'!$J$144</f>
        <v>21462206.5144136</v>
      </c>
      <c r="H95" s="462">
        <f>+F95*'I. Parametros Grales'!$J$145</f>
        <v>21429237.9538363</v>
      </c>
      <c r="I95" s="479">
        <f t="shared" si="13"/>
        <v>42891444.4682499</v>
      </c>
      <c r="J95" s="480"/>
      <c r="K95" s="480"/>
      <c r="L95" s="480"/>
      <c r="M95" s="480"/>
      <c r="N95" s="480"/>
      <c r="O95" s="480"/>
    </row>
    <row r="96" s="80" customFormat="1" ht="12.75" spans="1:15">
      <c r="A96" s="397"/>
      <c r="B96" s="422">
        <v>25</v>
      </c>
      <c r="C96" s="422">
        <f t="shared" si="14"/>
        <v>2049</v>
      </c>
      <c r="D96" s="461">
        <f>+'V.3 Capacidad Planta de CDR'!D40</f>
        <v>390626.046909287</v>
      </c>
      <c r="E96" s="460">
        <f>+D96*'II. Caracterizacion RSU'!$F$115</f>
        <v>143365.161507788</v>
      </c>
      <c r="F96" s="460">
        <f>+D96*'II. Caracterizacion RSU'!$F$117</f>
        <v>71572.4675880213</v>
      </c>
      <c r="G96" s="462">
        <f>+E96*'I. Parametros Grales'!$J$144</f>
        <v>21504774.2261683</v>
      </c>
      <c r="H96" s="462">
        <f>+F96*'I. Parametros Grales'!$J$145</f>
        <v>21471740.2764064</v>
      </c>
      <c r="I96" s="479">
        <f t="shared" si="13"/>
        <v>42976514.5025746</v>
      </c>
      <c r="J96" s="480"/>
      <c r="K96" s="480"/>
      <c r="L96" s="480"/>
      <c r="M96" s="480"/>
      <c r="N96" s="480"/>
      <c r="O96" s="480"/>
    </row>
    <row r="97" s="80" customFormat="1" ht="12.75" spans="1:15">
      <c r="A97" s="397"/>
      <c r="B97" s="422">
        <v>26</v>
      </c>
      <c r="C97" s="422">
        <f t="shared" si="14"/>
        <v>2050</v>
      </c>
      <c r="D97" s="461">
        <f>+'V.3 Capacidad Planta de CDR'!D41</f>
        <v>391328.278879627</v>
      </c>
      <c r="E97" s="460">
        <f>+D97*'II. Caracterizacion RSU'!$F$115</f>
        <v>143622.890352652</v>
      </c>
      <c r="F97" s="460">
        <f>+D97*'II. Caracterizacion RSU'!$F$117</f>
        <v>71701.1340590211</v>
      </c>
      <c r="G97" s="462">
        <f>+E97*'I. Parametros Grales'!$J$144</f>
        <v>21543433.5528979</v>
      </c>
      <c r="H97" s="462">
        <f>+F97*'I. Parametros Grales'!$J$145</f>
        <v>21510340.2177063</v>
      </c>
      <c r="I97" s="479">
        <f t="shared" si="13"/>
        <v>43053773.7706042</v>
      </c>
      <c r="J97" s="480"/>
      <c r="K97" s="480"/>
      <c r="L97" s="480"/>
      <c r="M97" s="480"/>
      <c r="N97" s="480"/>
      <c r="O97" s="480"/>
    </row>
    <row r="98" s="80" customFormat="1" ht="12.75" spans="1:15">
      <c r="A98" s="397"/>
      <c r="B98" s="422">
        <v>27</v>
      </c>
      <c r="C98" s="422">
        <f t="shared" si="14"/>
        <v>2051</v>
      </c>
      <c r="D98" s="461">
        <f>+'V.3 Capacidad Planta de CDR'!D42</f>
        <v>391958.67833641</v>
      </c>
      <c r="E98" s="460">
        <f>+D98*'II. Caracterizacion RSU'!$F$115</f>
        <v>143854.25567161</v>
      </c>
      <c r="F98" s="460">
        <f>+D98*'II. Caracterizacion RSU'!$F$117</f>
        <v>71816.6390158593</v>
      </c>
      <c r="G98" s="462">
        <f>+E98*'I. Parametros Grales'!$J$144</f>
        <v>21578138.3507414</v>
      </c>
      <c r="H98" s="462">
        <f>+F98*'I. Parametros Grales'!$J$145</f>
        <v>21544991.7047578</v>
      </c>
      <c r="I98" s="479">
        <f t="shared" si="13"/>
        <v>43123130.0554992</v>
      </c>
      <c r="J98" s="480"/>
      <c r="K98" s="480"/>
      <c r="L98" s="480"/>
      <c r="M98" s="480"/>
      <c r="N98" s="480"/>
      <c r="O98" s="480"/>
    </row>
    <row r="99" s="80" customFormat="1" ht="12.75" spans="1:15">
      <c r="A99" s="397"/>
      <c r="B99" s="422">
        <v>28</v>
      </c>
      <c r="C99" s="422">
        <f t="shared" si="14"/>
        <v>2052</v>
      </c>
      <c r="D99" s="461">
        <f>+'V.3 Capacidad Planta de CDR'!D43</f>
        <v>392510.875068399</v>
      </c>
      <c r="E99" s="460">
        <f>+D99*'II. Caracterizacion RSU'!$F$115</f>
        <v>144056.919509037</v>
      </c>
      <c r="F99" s="460">
        <f>+D99*'II. Caracterizacion RSU'!$F$117</f>
        <v>71917.8152764164</v>
      </c>
      <c r="G99" s="462">
        <f>+E99*'I. Parametros Grales'!$J$144</f>
        <v>21608537.9263555</v>
      </c>
      <c r="H99" s="462">
        <f>+F99*'I. Parametros Grales'!$J$145</f>
        <v>21575344.5829249</v>
      </c>
      <c r="I99" s="479">
        <f t="shared" si="13"/>
        <v>43183882.5092804</v>
      </c>
      <c r="J99" s="480"/>
      <c r="K99" s="480"/>
      <c r="L99" s="480"/>
      <c r="M99" s="480"/>
      <c r="N99" s="480"/>
      <c r="O99" s="480"/>
    </row>
    <row r="100" s="80" customFormat="1" ht="12.75" spans="1:15">
      <c r="A100" s="397"/>
      <c r="B100" s="422">
        <v>29</v>
      </c>
      <c r="C100" s="422">
        <f t="shared" si="14"/>
        <v>2053</v>
      </c>
      <c r="D100" s="461">
        <f>+'V.3 Capacidad Planta de CDR'!D44</f>
        <v>392967.099538984</v>
      </c>
      <c r="E100" s="460">
        <f>+D100*'II. Caracterizacion RSU'!$F$115</f>
        <v>144224.360199249</v>
      </c>
      <c r="F100" s="460">
        <f>+D100*'II. Caracterizacion RSU'!$F$117</f>
        <v>72001.4070168857</v>
      </c>
      <c r="G100" s="462">
        <f>+E100*'I. Parametros Grales'!$J$144</f>
        <v>21633654.0298873</v>
      </c>
      <c r="H100" s="462">
        <f>+F100*'I. Parametros Grales'!$J$145</f>
        <v>21600422.1050657</v>
      </c>
      <c r="I100" s="479">
        <f t="shared" si="13"/>
        <v>43234076.134953</v>
      </c>
      <c r="J100" s="480"/>
      <c r="K100" s="480"/>
      <c r="L100" s="480"/>
      <c r="M100" s="480"/>
      <c r="N100" s="480"/>
      <c r="O100" s="480"/>
    </row>
    <row r="101" s="80" customFormat="1" ht="12.75" spans="1:15">
      <c r="A101" s="397"/>
      <c r="B101" s="422">
        <v>30</v>
      </c>
      <c r="C101" s="422">
        <f t="shared" si="14"/>
        <v>2054</v>
      </c>
      <c r="D101" s="461">
        <f>+'V.3 Capacidad Planta de CDR'!D45</f>
        <v>393304.301641715</v>
      </c>
      <c r="E101" s="460">
        <f>+D101*'II. Caracterizacion RSU'!$F$115</f>
        <v>144348.118034399</v>
      </c>
      <c r="F101" s="460">
        <f>+D101*'II. Caracterizacion RSU'!$F$117</f>
        <v>72063.1908809144</v>
      </c>
      <c r="G101" s="462">
        <f>+E101*'I. Parametros Grales'!$J$144</f>
        <v>21652217.7051598</v>
      </c>
      <c r="H101" s="462">
        <f>+F101*'I. Parametros Grales'!$J$145</f>
        <v>21618957.2642743</v>
      </c>
      <c r="I101" s="479">
        <f t="shared" si="13"/>
        <v>43271174.9694341</v>
      </c>
      <c r="J101" s="480"/>
      <c r="K101" s="480"/>
      <c r="L101" s="480"/>
      <c r="M101" s="480"/>
      <c r="N101" s="480"/>
      <c r="O101" s="480"/>
    </row>
    <row r="102" s="80" customFormat="1" ht="12.75" spans="1:15">
      <c r="A102" s="397"/>
      <c r="B102" s="422">
        <v>31</v>
      </c>
      <c r="C102" s="422">
        <f t="shared" si="14"/>
        <v>2055</v>
      </c>
      <c r="D102" s="461">
        <f>+'V.3 Capacidad Planta de CDR'!D46</f>
        <v>393501.610552932</v>
      </c>
      <c r="E102" s="460">
        <f>+D102*'II. Caracterizacion RSU'!$F$115</f>
        <v>144420.533133564</v>
      </c>
      <c r="F102" s="460">
        <f>+D102*'II. Caracterizacion RSU'!$F$117</f>
        <v>72099.3428112956</v>
      </c>
      <c r="G102" s="462">
        <f>+E102*'I. Parametros Grales'!$J$144</f>
        <v>21663079.9700347</v>
      </c>
      <c r="H102" s="462">
        <f>+F102*'I. Parametros Grales'!$J$145</f>
        <v>21629802.8433887</v>
      </c>
      <c r="I102" s="479">
        <f t="shared" si="13"/>
        <v>43292882.8134233</v>
      </c>
      <c r="J102" s="480"/>
      <c r="K102" s="480"/>
      <c r="L102" s="480"/>
      <c r="M102" s="480"/>
      <c r="N102" s="480"/>
      <c r="O102" s="480"/>
    </row>
    <row r="103" s="80" customFormat="1" ht="12.75" spans="1:15">
      <c r="A103" s="397"/>
      <c r="B103" s="422">
        <v>32</v>
      </c>
      <c r="C103" s="422">
        <f t="shared" si="14"/>
        <v>2056</v>
      </c>
      <c r="D103" s="461">
        <f>+'V.3 Capacidad Planta de CDR'!D47</f>
        <v>393546.956398713</v>
      </c>
      <c r="E103" s="460">
        <f>+D103*'II. Caracterizacion RSU'!$F$115</f>
        <v>144437.175686091</v>
      </c>
      <c r="F103" s="460">
        <f>+D103*'II. Caracterizacion RSU'!$F$117</f>
        <v>72107.6513050663</v>
      </c>
      <c r="G103" s="462">
        <f>+E103*'I. Parametros Grales'!$J$144</f>
        <v>21665576.3529137</v>
      </c>
      <c r="H103" s="462">
        <f>+F103*'I. Parametros Grales'!$J$145</f>
        <v>21632295.3915199</v>
      </c>
      <c r="I103" s="479">
        <f t="shared" si="13"/>
        <v>43297871.7444336</v>
      </c>
      <c r="J103" s="480"/>
      <c r="K103" s="480"/>
      <c r="L103" s="480"/>
      <c r="M103" s="480"/>
      <c r="N103" s="480"/>
      <c r="O103" s="480"/>
    </row>
    <row r="104" s="80" customFormat="1" ht="12.75" spans="1:15">
      <c r="A104" s="397"/>
      <c r="B104" s="422">
        <v>33</v>
      </c>
      <c r="C104" s="422">
        <f t="shared" si="14"/>
        <v>2057</v>
      </c>
      <c r="D104" s="461">
        <f>+'V.3 Capacidad Planta de CDR'!D48</f>
        <v>393433.633693545</v>
      </c>
      <c r="E104" s="460">
        <f>+D104*'II. Caracterizacion RSU'!$F$115</f>
        <v>144395.584686061</v>
      </c>
      <c r="F104" s="460">
        <f>+D104*'II. Caracterizacion RSU'!$F$117</f>
        <v>72086.8877494693</v>
      </c>
      <c r="G104" s="462">
        <f>+E104*'I. Parametros Grales'!$J$144</f>
        <v>21659337.7029091</v>
      </c>
      <c r="H104" s="462">
        <f>+F104*'I. Parametros Grales'!$J$145</f>
        <v>21626066.3248408</v>
      </c>
      <c r="I104" s="479">
        <f t="shared" si="13"/>
        <v>43285404.0277499</v>
      </c>
      <c r="J104" s="480"/>
      <c r="K104" s="480"/>
      <c r="L104" s="480"/>
      <c r="M104" s="480"/>
      <c r="N104" s="480"/>
      <c r="O104" s="480"/>
    </row>
    <row r="105" s="80" customFormat="1" ht="12.75" spans="1:15">
      <c r="A105" s="397"/>
      <c r="B105" s="422">
        <v>34</v>
      </c>
      <c r="C105" s="422">
        <f t="shared" si="14"/>
        <v>2058</v>
      </c>
      <c r="D105" s="461">
        <f>+'V.3 Capacidad Planta de CDR'!D49</f>
        <v>393165.581910166</v>
      </c>
      <c r="E105" s="460">
        <f>+D105*'II. Caracterizacion RSU'!$F$115</f>
        <v>144297.20597445</v>
      </c>
      <c r="F105" s="460">
        <f>+D105*'II. Caracterizacion RSU'!$F$117</f>
        <v>72037.7739544994</v>
      </c>
      <c r="G105" s="462">
        <f>+E105*'I. Parametros Grales'!$J$144</f>
        <v>21644580.8961675</v>
      </c>
      <c r="H105" s="462">
        <f>+F105*'I. Parametros Grales'!$J$145</f>
        <v>21611332.1863498</v>
      </c>
      <c r="I105" s="479">
        <f t="shared" si="13"/>
        <v>43255913.0825173</v>
      </c>
      <c r="J105" s="480"/>
      <c r="K105" s="480"/>
      <c r="L105" s="480"/>
      <c r="M105" s="480"/>
      <c r="N105" s="480"/>
      <c r="O105" s="480"/>
    </row>
    <row r="106" s="80" customFormat="1" ht="12.75" spans="1:15">
      <c r="A106" s="397"/>
      <c r="B106" s="422">
        <v>35</v>
      </c>
      <c r="C106" s="422">
        <f t="shared" si="14"/>
        <v>2059</v>
      </c>
      <c r="D106" s="461">
        <f>+'V.3 Capacidad Planta de CDR'!D50</f>
        <v>392753.697462535</v>
      </c>
      <c r="E106" s="460">
        <f>+D106*'II. Caracterizacion RSU'!$F$115</f>
        <v>144146.038685877</v>
      </c>
      <c r="F106" s="460">
        <f>+D106*'II. Caracterizacion RSU'!$F$117</f>
        <v>71962.3064158872</v>
      </c>
      <c r="G106" s="462">
        <f>+E106*'I. Parametros Grales'!$J$144</f>
        <v>21621905.8028816</v>
      </c>
      <c r="H106" s="462">
        <f>+F106*'I. Parametros Grales'!$J$145</f>
        <v>21588691.9247662</v>
      </c>
      <c r="I106" s="479">
        <f t="shared" si="13"/>
        <v>43210597.7276478</v>
      </c>
      <c r="J106" s="480"/>
      <c r="K106" s="480"/>
      <c r="L106" s="480"/>
      <c r="M106" s="480"/>
      <c r="N106" s="480"/>
      <c r="O106" s="480"/>
    </row>
    <row r="107" s="80" customFormat="1" ht="12.75" spans="1:15">
      <c r="A107" s="397"/>
      <c r="B107" s="422">
        <v>36</v>
      </c>
      <c r="C107" s="422">
        <f t="shared" si="14"/>
        <v>2060</v>
      </c>
      <c r="D107" s="461">
        <f>+'V.3 Capacidad Planta de CDR'!D51</f>
        <v>392214.073515884</v>
      </c>
      <c r="E107" s="460">
        <f>+D107*'II. Caracterizacion RSU'!$F$115</f>
        <v>143947.989234548</v>
      </c>
      <c r="F107" s="460">
        <f>+D107*'II. Caracterizacion RSU'!$F$117</f>
        <v>71863.4338042499</v>
      </c>
      <c r="G107" s="462">
        <f>+E107*'I. Parametros Grales'!$J$144</f>
        <v>21592198.3851823</v>
      </c>
      <c r="H107" s="462">
        <f>+F107*'I. Parametros Grales'!$J$145</f>
        <v>21559030.141275</v>
      </c>
      <c r="I107" s="479">
        <f t="shared" si="13"/>
        <v>43151228.5264572</v>
      </c>
      <c r="J107" s="480"/>
      <c r="K107" s="480"/>
      <c r="L107" s="480"/>
      <c r="M107" s="480"/>
      <c r="N107" s="480"/>
      <c r="O107" s="480"/>
    </row>
    <row r="108" s="80" customFormat="1" ht="12.75" spans="1:15">
      <c r="A108" s="397"/>
      <c r="B108" s="422">
        <v>37</v>
      </c>
      <c r="C108" s="422">
        <f t="shared" si="14"/>
        <v>2061</v>
      </c>
      <c r="D108" s="461">
        <f>+'V.3 Capacidad Planta de CDR'!D52</f>
        <v>391560.540134081</v>
      </c>
      <c r="E108" s="460">
        <f>+D108*'II. Caracterizacion RSU'!$F$115</f>
        <v>143708.133445171</v>
      </c>
      <c r="F108" s="460">
        <f>+D108*'II. Caracterizacion RSU'!$F$117</f>
        <v>71743.6901333994</v>
      </c>
      <c r="G108" s="462">
        <f>+E108*'I. Parametros Grales'!$J$144</f>
        <v>21556220.0167756</v>
      </c>
      <c r="H108" s="462">
        <f>+F108*'I. Parametros Grales'!$J$145</f>
        <v>21523107.0400198</v>
      </c>
      <c r="I108" s="479">
        <f t="shared" si="13"/>
        <v>43079327.0567954</v>
      </c>
      <c r="J108" s="480"/>
      <c r="K108" s="480"/>
      <c r="L108" s="480"/>
      <c r="M108" s="480"/>
      <c r="N108" s="480"/>
      <c r="O108" s="480"/>
    </row>
    <row r="109" s="80" customFormat="1" ht="12.75" spans="1:15">
      <c r="A109" s="397"/>
      <c r="B109" s="422">
        <v>38</v>
      </c>
      <c r="C109" s="422">
        <f t="shared" si="14"/>
        <v>2062</v>
      </c>
      <c r="D109" s="461">
        <f>+'V.3 Capacidad Planta de CDR'!D53</f>
        <v>390809.525756634</v>
      </c>
      <c r="E109" s="460">
        <f>+D109*'II. Caracterizacion RSU'!$F$115</f>
        <v>143432.500782246</v>
      </c>
      <c r="F109" s="460">
        <f>+D109*'II. Caracterizacion RSU'!$F$117</f>
        <v>71606.0855045907</v>
      </c>
      <c r="G109" s="462">
        <f>+E109*'I. Parametros Grales'!$J$144</f>
        <v>21514875.1173369</v>
      </c>
      <c r="H109" s="462">
        <f>+F109*'I. Parametros Grales'!$J$145</f>
        <v>21481825.6513772</v>
      </c>
      <c r="I109" s="479">
        <f t="shared" si="13"/>
        <v>42996700.7687141</v>
      </c>
      <c r="J109" s="480"/>
      <c r="K109" s="480"/>
      <c r="L109" s="480"/>
      <c r="M109" s="480"/>
      <c r="N109" s="480"/>
      <c r="O109" s="480"/>
    </row>
    <row r="110" s="80" customFormat="1" ht="12.75" spans="1:15">
      <c r="A110" s="397"/>
      <c r="B110" s="422">
        <v>39</v>
      </c>
      <c r="C110" s="422">
        <f t="shared" si="14"/>
        <v>2063</v>
      </c>
      <c r="D110" s="461">
        <f>+'V.3 Capacidad Planta de CDR'!D54</f>
        <v>389978.967557291</v>
      </c>
      <c r="E110" s="460">
        <f>+D110*'II. Caracterizacion RSU'!$F$115</f>
        <v>143127.674436608</v>
      </c>
      <c r="F110" s="460">
        <f>+D110*'II. Caracterizacion RSU'!$F$117</f>
        <v>71453.9064569496</v>
      </c>
      <c r="G110" s="462">
        <f>+E110*'I. Parametros Grales'!$J$144</f>
        <v>21469151.1654912</v>
      </c>
      <c r="H110" s="462">
        <f>+F110*'I. Parametros Grales'!$J$145</f>
        <v>21436171.9370849</v>
      </c>
      <c r="I110" s="479">
        <f t="shared" si="13"/>
        <v>42905323.1025761</v>
      </c>
      <c r="J110" s="480"/>
      <c r="K110" s="480"/>
      <c r="L110" s="480"/>
      <c r="M110" s="480"/>
      <c r="N110" s="480"/>
      <c r="O110" s="480"/>
    </row>
    <row r="111" s="80" customFormat="1" ht="12.75" spans="2:9">
      <c r="B111" s="463" t="s">
        <v>789</v>
      </c>
      <c r="C111" s="463"/>
      <c r="D111" s="463"/>
      <c r="E111" s="463"/>
      <c r="F111" s="463"/>
      <c r="G111" s="464"/>
      <c r="H111" s="464"/>
      <c r="I111" s="464"/>
    </row>
    <row r="112" s="80" customFormat="1" ht="12.75" spans="2:5">
      <c r="B112" s="437"/>
      <c r="D112" s="412"/>
      <c r="E112" s="412"/>
    </row>
    <row r="113" s="80" customFormat="1" ht="12.75"/>
    <row r="114" s="80" customFormat="1" ht="15.75" spans="1:17">
      <c r="A114" s="397"/>
      <c r="B114" s="465" t="s">
        <v>801</v>
      </c>
      <c r="C114" s="465"/>
      <c r="D114" s="465"/>
      <c r="E114" s="465"/>
      <c r="F114" s="465"/>
      <c r="G114" s="465"/>
      <c r="H114" s="465"/>
      <c r="I114" s="465"/>
      <c r="J114" s="465"/>
      <c r="K114" s="465"/>
      <c r="L114" s="465"/>
      <c r="M114" s="465"/>
      <c r="N114" s="465"/>
      <c r="O114" s="465"/>
      <c r="P114" s="465"/>
      <c r="Q114" s="465"/>
    </row>
    <row r="115" s="80" customFormat="1" ht="15.75" spans="1:17">
      <c r="A115" s="397"/>
      <c r="B115" s="466"/>
      <c r="C115" s="466"/>
      <c r="D115" s="466"/>
      <c r="E115" s="466"/>
      <c r="F115" s="466"/>
      <c r="G115" s="466"/>
      <c r="H115" s="466"/>
      <c r="I115" s="466"/>
      <c r="J115" s="466"/>
      <c r="K115" s="466"/>
      <c r="L115" s="466"/>
      <c r="M115" s="466"/>
      <c r="N115" s="466"/>
      <c r="O115" s="466"/>
      <c r="P115" s="466"/>
      <c r="Q115" s="466"/>
    </row>
    <row r="116" s="80" customFormat="1" ht="12.75" spans="1:13">
      <c r="A116" s="397"/>
      <c r="B116" s="399" t="s">
        <v>802</v>
      </c>
      <c r="M116" s="397"/>
    </row>
    <row r="117" s="80" customFormat="1" ht="38.25" spans="1:14">
      <c r="A117" s="397"/>
      <c r="B117" s="467" t="s">
        <v>200</v>
      </c>
      <c r="C117" s="468"/>
      <c r="D117" s="469" t="s">
        <v>803</v>
      </c>
      <c r="E117" s="469" t="s">
        <v>804</v>
      </c>
      <c r="F117" s="470" t="s">
        <v>805</v>
      </c>
      <c r="G117" s="470" t="s">
        <v>806</v>
      </c>
      <c r="N117" s="397"/>
    </row>
    <row r="118" s="80" customFormat="1" ht="12.75" spans="1:18">
      <c r="A118" s="397"/>
      <c r="B118" s="422">
        <v>0</v>
      </c>
      <c r="C118" s="423">
        <v>2024</v>
      </c>
      <c r="D118" s="471">
        <v>0</v>
      </c>
      <c r="E118" s="471">
        <v>0</v>
      </c>
      <c r="F118" s="471">
        <v>0</v>
      </c>
      <c r="G118" s="471">
        <v>0</v>
      </c>
      <c r="I118" s="481" t="s">
        <v>807</v>
      </c>
      <c r="J118" s="481"/>
      <c r="K118" s="481"/>
      <c r="M118" s="481" t="s">
        <v>808</v>
      </c>
      <c r="N118" s="481"/>
      <c r="O118" s="481"/>
      <c r="R118" s="80" t="s">
        <v>809</v>
      </c>
    </row>
    <row r="119" s="80" customFormat="1" ht="41.7" customHeight="1" spans="1:21">
      <c r="A119" s="397"/>
      <c r="B119" s="422">
        <v>1</v>
      </c>
      <c r="C119" s="423">
        <f>C118+1</f>
        <v>2025</v>
      </c>
      <c r="D119" s="471">
        <v>0</v>
      </c>
      <c r="E119" s="471">
        <f t="shared" ref="E119:E157" si="15">+D119*$O$122</f>
        <v>0</v>
      </c>
      <c r="F119" s="471">
        <v>0</v>
      </c>
      <c r="G119" s="471">
        <f t="shared" ref="G119:G157" si="16">+F119+E119</f>
        <v>0</v>
      </c>
      <c r="I119" s="482"/>
      <c r="J119" s="483" t="s">
        <v>810</v>
      </c>
      <c r="K119" s="483" t="s">
        <v>811</v>
      </c>
      <c r="M119" s="484" t="s">
        <v>812</v>
      </c>
      <c r="N119" s="459" t="s">
        <v>813</v>
      </c>
      <c r="O119" s="471">
        <f>+T129-U129</f>
        <v>1767315.0427887</v>
      </c>
      <c r="P119"/>
      <c r="R119" s="484" t="s">
        <v>814</v>
      </c>
      <c r="S119" s="484"/>
      <c r="T119" s="484" t="s">
        <v>815</v>
      </c>
      <c r="U119" s="484" t="s">
        <v>816</v>
      </c>
    </row>
    <row r="120" s="80" customFormat="1" ht="26.25" spans="1:21">
      <c r="A120" s="397"/>
      <c r="B120" s="422">
        <v>2</v>
      </c>
      <c r="C120" s="423">
        <f t="shared" ref="C120:C157" si="17">C119+1</f>
        <v>2026</v>
      </c>
      <c r="D120" s="471">
        <f>+O120</f>
        <v>785473.352350532</v>
      </c>
      <c r="E120" s="471">
        <f t="shared" si="15"/>
        <v>18631427.9177546</v>
      </c>
      <c r="F120" s="471">
        <f>+$K$123-E120</f>
        <v>15237165.6334162</v>
      </c>
      <c r="G120" s="471">
        <f t="shared" si="16"/>
        <v>33868593.5511708</v>
      </c>
      <c r="I120" s="485" t="s">
        <v>817</v>
      </c>
      <c r="J120" s="486">
        <v>95129123.8339497</v>
      </c>
      <c r="K120" s="486">
        <v>20451790.3877779</v>
      </c>
      <c r="M120" s="484" t="s">
        <v>818</v>
      </c>
      <c r="N120" s="459" t="s">
        <v>819</v>
      </c>
      <c r="O120" s="471">
        <f>+O119/O121</f>
        <v>785473.352350532</v>
      </c>
      <c r="P120" s="322"/>
      <c r="R120" s="491" t="s">
        <v>820</v>
      </c>
      <c r="S120" s="491"/>
      <c r="T120" s="492"/>
      <c r="U120" s="493"/>
    </row>
    <row r="121" s="80" customFormat="1" ht="25.5" spans="1:21">
      <c r="A121" s="397"/>
      <c r="B121" s="422">
        <v>3</v>
      </c>
      <c r="C121" s="423">
        <f t="shared" si="17"/>
        <v>2027</v>
      </c>
      <c r="D121" s="471">
        <f t="shared" ref="D121:D138" si="18">+D120</f>
        <v>785473.352350532</v>
      </c>
      <c r="E121" s="471">
        <f t="shared" si="15"/>
        <v>18631427.9177546</v>
      </c>
      <c r="F121" s="471">
        <f t="shared" ref="F121:F157" si="19">+$K$123-E121</f>
        <v>15237165.6334162</v>
      </c>
      <c r="G121" s="471">
        <f t="shared" si="16"/>
        <v>33868593.5511708</v>
      </c>
      <c r="I121" s="485" t="s">
        <v>821</v>
      </c>
      <c r="J121" s="486">
        <v>0</v>
      </c>
      <c r="K121" s="486">
        <v>40808739.895001</v>
      </c>
      <c r="M121" s="484" t="s">
        <v>822</v>
      </c>
      <c r="N121" s="487" t="s">
        <v>823</v>
      </c>
      <c r="O121" s="311">
        <v>2.25</v>
      </c>
      <c r="P121"/>
      <c r="R121" s="491" t="s">
        <v>824</v>
      </c>
      <c r="S121" s="491" t="s">
        <v>666</v>
      </c>
      <c r="T121" s="494">
        <v>298029.518176846</v>
      </c>
      <c r="U121" s="495">
        <v>298029.518176846</v>
      </c>
    </row>
    <row r="122" s="80" customFormat="1" ht="26.25" spans="1:21">
      <c r="A122" s="397"/>
      <c r="B122" s="422">
        <v>4</v>
      </c>
      <c r="C122" s="423">
        <f t="shared" si="17"/>
        <v>2028</v>
      </c>
      <c r="D122" s="471">
        <f t="shared" si="18"/>
        <v>785473.352350532</v>
      </c>
      <c r="E122" s="471">
        <f t="shared" si="15"/>
        <v>18631427.9177546</v>
      </c>
      <c r="F122" s="471">
        <f t="shared" si="19"/>
        <v>15237165.6334162</v>
      </c>
      <c r="G122" s="471">
        <f t="shared" si="16"/>
        <v>33868593.5511708</v>
      </c>
      <c r="I122" s="485" t="s">
        <v>170</v>
      </c>
      <c r="J122" s="488">
        <v>95129123.8339497</v>
      </c>
      <c r="K122" s="488">
        <v>61260530.2827789</v>
      </c>
      <c r="M122" s="484" t="s">
        <v>825</v>
      </c>
      <c r="N122" s="459" t="s">
        <v>826</v>
      </c>
      <c r="O122" s="471">
        <f>+'I. Parametros Grales'!D24</f>
        <v>23.72</v>
      </c>
      <c r="P122"/>
      <c r="R122" s="491" t="s">
        <v>827</v>
      </c>
      <c r="S122" s="491" t="s">
        <v>666</v>
      </c>
      <c r="T122" s="496" t="s">
        <v>262</v>
      </c>
      <c r="U122" s="497">
        <v>298029.518176846</v>
      </c>
    </row>
    <row r="123" s="80" customFormat="1" ht="26.25" spans="2:21">
      <c r="B123" s="422">
        <v>5</v>
      </c>
      <c r="C123" s="423">
        <f t="shared" si="17"/>
        <v>2029</v>
      </c>
      <c r="D123" s="471">
        <f t="shared" si="18"/>
        <v>785473.352350532</v>
      </c>
      <c r="E123" s="471">
        <f t="shared" si="15"/>
        <v>18631427.9177546</v>
      </c>
      <c r="F123" s="471">
        <f t="shared" si="19"/>
        <v>15237165.6334162</v>
      </c>
      <c r="G123" s="471">
        <f t="shared" si="16"/>
        <v>33868593.5511708</v>
      </c>
      <c r="I123" s="485" t="s">
        <v>828</v>
      </c>
      <c r="J123" s="489">
        <v>0</v>
      </c>
      <c r="K123" s="490">
        <f>+J122-K122</f>
        <v>33868593.5511708</v>
      </c>
      <c r="M123" s="412" t="s">
        <v>187</v>
      </c>
      <c r="N123" s="412"/>
      <c r="O123" s="412"/>
      <c r="P123" s="412"/>
      <c r="R123" s="491" t="s">
        <v>829</v>
      </c>
      <c r="S123" s="491"/>
      <c r="T123" s="492"/>
      <c r="U123" s="493"/>
    </row>
    <row r="124" s="80" customFormat="1" ht="12.75" spans="2:21">
      <c r="B124" s="422">
        <v>6</v>
      </c>
      <c r="C124" s="423">
        <f t="shared" si="17"/>
        <v>2030</v>
      </c>
      <c r="D124" s="471">
        <f t="shared" si="18"/>
        <v>785473.352350532</v>
      </c>
      <c r="E124" s="471">
        <f t="shared" si="15"/>
        <v>18631427.9177546</v>
      </c>
      <c r="F124" s="471">
        <f t="shared" si="19"/>
        <v>15237165.6334162</v>
      </c>
      <c r="G124" s="471">
        <f t="shared" si="16"/>
        <v>33868593.5511708</v>
      </c>
      <c r="I124" s="412" t="s">
        <v>187</v>
      </c>
      <c r="J124" s="412"/>
      <c r="K124" s="412"/>
      <c r="L124" s="412"/>
      <c r="R124" s="491" t="s">
        <v>824</v>
      </c>
      <c r="S124" s="491" t="s">
        <v>830</v>
      </c>
      <c r="T124" s="494">
        <v>49671.5863628077</v>
      </c>
      <c r="U124" s="494">
        <v>49671.5863628077</v>
      </c>
    </row>
    <row r="125" s="80" customFormat="1" ht="13.5" spans="2:21">
      <c r="B125" s="422">
        <v>7</v>
      </c>
      <c r="C125" s="423">
        <f t="shared" si="17"/>
        <v>2031</v>
      </c>
      <c r="D125" s="471">
        <f t="shared" si="18"/>
        <v>785473.352350532</v>
      </c>
      <c r="E125" s="471">
        <f t="shared" si="15"/>
        <v>18631427.9177546</v>
      </c>
      <c r="F125" s="471">
        <f t="shared" si="19"/>
        <v>15237165.6334162</v>
      </c>
      <c r="G125" s="471">
        <f t="shared" si="16"/>
        <v>33868593.5511708</v>
      </c>
      <c r="R125" s="491" t="s">
        <v>827</v>
      </c>
      <c r="S125" s="491" t="s">
        <v>830</v>
      </c>
      <c r="T125" s="496" t="s">
        <v>262</v>
      </c>
      <c r="U125" s="497">
        <v>11921.1807270738</v>
      </c>
    </row>
    <row r="126" s="80" customFormat="1" ht="13.5" spans="2:21">
      <c r="B126" s="422">
        <v>8</v>
      </c>
      <c r="C126" s="423">
        <f t="shared" si="17"/>
        <v>2032</v>
      </c>
      <c r="D126" s="471">
        <f t="shared" si="18"/>
        <v>785473.352350532</v>
      </c>
      <c r="E126" s="471">
        <f t="shared" si="15"/>
        <v>18631427.9177546</v>
      </c>
      <c r="F126" s="471">
        <f t="shared" si="19"/>
        <v>15237165.6334162</v>
      </c>
      <c r="G126" s="471">
        <f t="shared" si="16"/>
        <v>33868593.5511708</v>
      </c>
      <c r="R126" s="491" t="s">
        <v>831</v>
      </c>
      <c r="S126" s="491"/>
      <c r="T126" s="492"/>
      <c r="U126" s="493"/>
    </row>
    <row r="127" s="80" customFormat="1" ht="12.75" spans="2:21">
      <c r="B127" s="422">
        <v>9</v>
      </c>
      <c r="C127" s="423">
        <f t="shared" si="17"/>
        <v>2033</v>
      </c>
      <c r="D127" s="471">
        <f t="shared" si="18"/>
        <v>785473.352350532</v>
      </c>
      <c r="E127" s="471">
        <f t="shared" si="15"/>
        <v>18631427.9177546</v>
      </c>
      <c r="F127" s="471">
        <f t="shared" si="19"/>
        <v>15237165.6334162</v>
      </c>
      <c r="G127" s="471">
        <f t="shared" si="16"/>
        <v>33868593.5511708</v>
      </c>
      <c r="R127" s="491" t="s">
        <v>824</v>
      </c>
      <c r="S127" s="491" t="s">
        <v>626</v>
      </c>
      <c r="T127" s="494">
        <v>3303160.49312671</v>
      </c>
      <c r="U127" s="494">
        <v>844416.96816773</v>
      </c>
    </row>
    <row r="128" s="80" customFormat="1" ht="13.5" spans="2:21">
      <c r="B128" s="422">
        <v>10</v>
      </c>
      <c r="C128" s="423">
        <f t="shared" si="17"/>
        <v>2034</v>
      </c>
      <c r="D128" s="471">
        <f t="shared" si="18"/>
        <v>785473.352350532</v>
      </c>
      <c r="E128" s="471">
        <f t="shared" si="15"/>
        <v>18631427.9177546</v>
      </c>
      <c r="F128" s="471">
        <f t="shared" si="19"/>
        <v>15237165.6334162</v>
      </c>
      <c r="G128" s="471">
        <f t="shared" si="16"/>
        <v>33868593.5511708</v>
      </c>
      <c r="R128" s="491" t="s">
        <v>827</v>
      </c>
      <c r="S128" s="491" t="s">
        <v>626</v>
      </c>
      <c r="T128" s="496" t="s">
        <v>262</v>
      </c>
      <c r="U128" s="497">
        <v>691428.482170283</v>
      </c>
    </row>
    <row r="129" s="80" customFormat="1" ht="13.5" spans="2:22">
      <c r="B129" s="422">
        <v>11</v>
      </c>
      <c r="C129" s="423">
        <f t="shared" si="17"/>
        <v>2035</v>
      </c>
      <c r="D129" s="471">
        <f t="shared" si="18"/>
        <v>785473.352350532</v>
      </c>
      <c r="E129" s="471">
        <f t="shared" si="15"/>
        <v>18631427.9177546</v>
      </c>
      <c r="F129" s="471">
        <f t="shared" si="19"/>
        <v>15237165.6334162</v>
      </c>
      <c r="G129" s="471">
        <f t="shared" si="16"/>
        <v>33868593.5511708</v>
      </c>
      <c r="R129" s="491"/>
      <c r="S129" s="491" t="s">
        <v>626</v>
      </c>
      <c r="T129" s="504">
        <v>3303160.49312671</v>
      </c>
      <c r="U129" s="504">
        <v>1535845.45033801</v>
      </c>
      <c r="V129" s="505"/>
    </row>
    <row r="130" s="80" customFormat="1" ht="13.5" spans="2:21">
      <c r="B130" s="422">
        <v>12</v>
      </c>
      <c r="C130" s="423">
        <f t="shared" si="17"/>
        <v>2036</v>
      </c>
      <c r="D130" s="471">
        <f t="shared" si="18"/>
        <v>785473.352350532</v>
      </c>
      <c r="E130" s="471">
        <f t="shared" si="15"/>
        <v>18631427.9177546</v>
      </c>
      <c r="F130" s="471">
        <f t="shared" si="19"/>
        <v>15237165.6334162</v>
      </c>
      <c r="G130" s="471">
        <f t="shared" si="16"/>
        <v>33868593.5511708</v>
      </c>
      <c r="R130" s="491" t="s">
        <v>832</v>
      </c>
      <c r="S130" s="491"/>
      <c r="T130" s="492"/>
      <c r="U130" s="493"/>
    </row>
    <row r="131" s="80" customFormat="1" ht="12.75" spans="2:21">
      <c r="B131" s="422">
        <v>13</v>
      </c>
      <c r="C131" s="423">
        <f t="shared" si="17"/>
        <v>2037</v>
      </c>
      <c r="D131" s="471">
        <f t="shared" si="18"/>
        <v>785473.352350532</v>
      </c>
      <c r="E131" s="471">
        <f t="shared" si="15"/>
        <v>18631427.9177546</v>
      </c>
      <c r="F131" s="471">
        <f t="shared" si="19"/>
        <v>15237165.6334162</v>
      </c>
      <c r="G131" s="471">
        <f t="shared" si="16"/>
        <v>33868593.5511708</v>
      </c>
      <c r="R131" s="491" t="s">
        <v>824</v>
      </c>
      <c r="S131" s="491" t="s">
        <v>833</v>
      </c>
      <c r="T131" s="506">
        <v>34929973.0307652</v>
      </c>
      <c r="U131" s="507">
        <v>8929466.78981967</v>
      </c>
    </row>
    <row r="132" s="80" customFormat="1" ht="13.5" spans="2:21">
      <c r="B132" s="422">
        <v>14</v>
      </c>
      <c r="C132" s="423">
        <f t="shared" si="17"/>
        <v>2038</v>
      </c>
      <c r="D132" s="471">
        <f t="shared" si="18"/>
        <v>785473.352350532</v>
      </c>
      <c r="E132" s="471">
        <f t="shared" si="15"/>
        <v>18631427.9177546</v>
      </c>
      <c r="F132" s="471">
        <f t="shared" si="19"/>
        <v>15237165.6334162</v>
      </c>
      <c r="G132" s="471">
        <f t="shared" si="16"/>
        <v>33868593.5511708</v>
      </c>
      <c r="R132" s="491" t="s">
        <v>827</v>
      </c>
      <c r="S132" s="491" t="s">
        <v>833</v>
      </c>
      <c r="T132" s="508"/>
      <c r="U132" s="509">
        <v>8225614.70168095</v>
      </c>
    </row>
    <row r="133" s="80" customFormat="1" ht="13.5" spans="2:21">
      <c r="B133" s="422">
        <v>15</v>
      </c>
      <c r="C133" s="423">
        <f t="shared" si="17"/>
        <v>2039</v>
      </c>
      <c r="D133" s="471">
        <f t="shared" si="18"/>
        <v>785473.352350532</v>
      </c>
      <c r="E133" s="471">
        <f t="shared" si="15"/>
        <v>18631427.9177546</v>
      </c>
      <c r="F133" s="471">
        <f t="shared" si="19"/>
        <v>15237165.6334162</v>
      </c>
      <c r="G133" s="471">
        <f t="shared" si="16"/>
        <v>33868593.5511708</v>
      </c>
      <c r="R133" s="491"/>
      <c r="S133" s="491" t="s">
        <v>833</v>
      </c>
      <c r="T133" s="508">
        <v>34929973.0307652</v>
      </c>
      <c r="U133" s="508">
        <v>17155081.4915006</v>
      </c>
    </row>
    <row r="134" s="80" customFormat="1" ht="13.5" spans="2:21">
      <c r="B134" s="422">
        <v>16</v>
      </c>
      <c r="C134" s="423">
        <f t="shared" si="17"/>
        <v>2040</v>
      </c>
      <c r="D134" s="471">
        <f t="shared" si="18"/>
        <v>785473.352350532</v>
      </c>
      <c r="E134" s="471">
        <f t="shared" si="15"/>
        <v>18631427.9177546</v>
      </c>
      <c r="F134" s="471">
        <f t="shared" si="19"/>
        <v>15237165.6334162</v>
      </c>
      <c r="G134" s="471">
        <f t="shared" si="16"/>
        <v>33868593.5511708</v>
      </c>
      <c r="R134" s="491" t="s">
        <v>834</v>
      </c>
      <c r="S134" s="491"/>
      <c r="T134" s="492"/>
      <c r="U134" s="493"/>
    </row>
    <row r="135" s="80" customFormat="1" ht="12.75" spans="2:21">
      <c r="B135" s="422">
        <v>17</v>
      </c>
      <c r="C135" s="423">
        <f t="shared" si="17"/>
        <v>2041</v>
      </c>
      <c r="D135" s="471">
        <f t="shared" si="18"/>
        <v>785473.352350532</v>
      </c>
      <c r="E135" s="471">
        <f t="shared" si="15"/>
        <v>18631427.9177546</v>
      </c>
      <c r="F135" s="471">
        <f t="shared" si="19"/>
        <v>15237165.6334162</v>
      </c>
      <c r="G135" s="471">
        <f t="shared" si="16"/>
        <v>33868593.5511708</v>
      </c>
      <c r="R135" s="491" t="s">
        <v>824</v>
      </c>
      <c r="S135" s="491" t="s">
        <v>16</v>
      </c>
      <c r="T135" s="494">
        <v>120114.927022789</v>
      </c>
      <c r="U135" s="495">
        <v>30706.0715697356</v>
      </c>
    </row>
    <row r="136" s="80" customFormat="1" ht="13.5" spans="2:21">
      <c r="B136" s="422">
        <v>18</v>
      </c>
      <c r="C136" s="423">
        <f t="shared" si="17"/>
        <v>2042</v>
      </c>
      <c r="D136" s="471">
        <f t="shared" si="18"/>
        <v>785473.352350532</v>
      </c>
      <c r="E136" s="471">
        <f t="shared" si="15"/>
        <v>18631427.9177546</v>
      </c>
      <c r="F136" s="471">
        <f t="shared" si="19"/>
        <v>15237165.6334162</v>
      </c>
      <c r="G136" s="471">
        <f t="shared" si="16"/>
        <v>33868593.5511708</v>
      </c>
      <c r="R136" s="491" t="s">
        <v>827</v>
      </c>
      <c r="S136" s="491" t="s">
        <v>16</v>
      </c>
      <c r="T136" s="496" t="s">
        <v>262</v>
      </c>
      <c r="U136" s="497">
        <v>25142.8538971012</v>
      </c>
    </row>
    <row r="137" s="80" customFormat="1" ht="13.5" spans="2:21">
      <c r="B137" s="422">
        <v>19</v>
      </c>
      <c r="C137" s="423">
        <f t="shared" si="17"/>
        <v>2043</v>
      </c>
      <c r="D137" s="471">
        <f t="shared" si="18"/>
        <v>785473.352350532</v>
      </c>
      <c r="E137" s="471">
        <f t="shared" si="15"/>
        <v>18631427.9177546</v>
      </c>
      <c r="F137" s="471">
        <f t="shared" si="19"/>
        <v>15237165.6334162</v>
      </c>
      <c r="G137" s="471">
        <f t="shared" si="16"/>
        <v>33868593.5511708</v>
      </c>
      <c r="R137" s="491"/>
      <c r="S137" s="491" t="s">
        <v>16</v>
      </c>
      <c r="T137" s="504">
        <v>120114.927022789</v>
      </c>
      <c r="U137" s="504">
        <v>55848.9254668368</v>
      </c>
    </row>
    <row r="138" s="80" customFormat="1" ht="13.5" spans="2:21">
      <c r="B138" s="422">
        <v>20</v>
      </c>
      <c r="C138" s="423">
        <f t="shared" si="17"/>
        <v>2044</v>
      </c>
      <c r="D138" s="471">
        <f t="shared" si="18"/>
        <v>785473.352350532</v>
      </c>
      <c r="E138" s="471">
        <f t="shared" si="15"/>
        <v>18631427.9177546</v>
      </c>
      <c r="F138" s="471">
        <f t="shared" si="19"/>
        <v>15237165.6334162</v>
      </c>
      <c r="G138" s="471">
        <f t="shared" si="16"/>
        <v>33868593.5511708</v>
      </c>
      <c r="R138" s="491" t="s">
        <v>835</v>
      </c>
      <c r="S138" s="491"/>
      <c r="T138" s="492"/>
      <c r="U138" s="493"/>
    </row>
    <row r="139" s="80" customFormat="1" ht="12.75" spans="2:21">
      <c r="B139" s="422">
        <v>21</v>
      </c>
      <c r="C139" s="423">
        <f t="shared" si="17"/>
        <v>2045</v>
      </c>
      <c r="D139" s="471">
        <f t="shared" ref="D139:D153" si="20">+D138</f>
        <v>785473.352350532</v>
      </c>
      <c r="E139" s="471">
        <f t="shared" si="15"/>
        <v>18631427.9177546</v>
      </c>
      <c r="F139" s="471">
        <f t="shared" si="19"/>
        <v>15237165.6334162</v>
      </c>
      <c r="G139" s="471">
        <f t="shared" si="16"/>
        <v>33868593.5511708</v>
      </c>
      <c r="R139" s="491" t="s">
        <v>824</v>
      </c>
      <c r="S139" s="491" t="s">
        <v>16</v>
      </c>
      <c r="T139" s="494">
        <v>360344.781068368</v>
      </c>
      <c r="U139" s="494">
        <v>92118.2147092069</v>
      </c>
    </row>
    <row r="140" s="80" customFormat="1" ht="13.5" spans="2:21">
      <c r="B140" s="422">
        <v>22</v>
      </c>
      <c r="C140" s="423">
        <f t="shared" si="17"/>
        <v>2046</v>
      </c>
      <c r="D140" s="471">
        <f t="shared" si="20"/>
        <v>785473.352350532</v>
      </c>
      <c r="E140" s="471">
        <f t="shared" si="15"/>
        <v>18631427.9177546</v>
      </c>
      <c r="F140" s="471">
        <f t="shared" si="19"/>
        <v>15237165.6334162</v>
      </c>
      <c r="G140" s="471">
        <f t="shared" si="16"/>
        <v>33868593.5511708</v>
      </c>
      <c r="R140" s="491" t="s">
        <v>827</v>
      </c>
      <c r="S140" s="491" t="s">
        <v>16</v>
      </c>
      <c r="T140" s="496" t="s">
        <v>262</v>
      </c>
      <c r="U140" s="497">
        <v>25142.8538971012</v>
      </c>
    </row>
    <row r="141" s="80" customFormat="1" ht="13.5" spans="1:21">
      <c r="A141" s="397"/>
      <c r="B141" s="422">
        <v>23</v>
      </c>
      <c r="C141" s="423">
        <f t="shared" si="17"/>
        <v>2047</v>
      </c>
      <c r="D141" s="471">
        <f t="shared" si="20"/>
        <v>785473.352350532</v>
      </c>
      <c r="E141" s="471">
        <f t="shared" si="15"/>
        <v>18631427.9177546</v>
      </c>
      <c r="F141" s="471">
        <f t="shared" si="19"/>
        <v>15237165.6334162</v>
      </c>
      <c r="G141" s="471">
        <f t="shared" si="16"/>
        <v>33868593.5511708</v>
      </c>
      <c r="H141" s="480"/>
      <c r="I141" s="480"/>
      <c r="J141" s="480"/>
      <c r="K141" s="480"/>
      <c r="L141" s="480"/>
      <c r="M141" s="480"/>
      <c r="N141" s="480"/>
      <c r="O141" s="480"/>
      <c r="R141" s="491"/>
      <c r="S141" s="491" t="s">
        <v>16</v>
      </c>
      <c r="T141" s="504">
        <v>360344.781068368</v>
      </c>
      <c r="U141" s="504">
        <v>117261.068606308</v>
      </c>
    </row>
    <row r="142" s="80" customFormat="1" ht="13.5" spans="1:21">
      <c r="A142" s="397"/>
      <c r="B142" s="422">
        <v>24</v>
      </c>
      <c r="C142" s="423">
        <f t="shared" si="17"/>
        <v>2048</v>
      </c>
      <c r="D142" s="471">
        <f t="shared" si="20"/>
        <v>785473.352350532</v>
      </c>
      <c r="E142" s="471">
        <f t="shared" si="15"/>
        <v>18631427.9177546</v>
      </c>
      <c r="F142" s="471">
        <f t="shared" si="19"/>
        <v>15237165.6334162</v>
      </c>
      <c r="G142" s="471">
        <f t="shared" si="16"/>
        <v>33868593.5511708</v>
      </c>
      <c r="H142" s="480"/>
      <c r="I142" s="480"/>
      <c r="J142" s="480"/>
      <c r="K142" s="480"/>
      <c r="L142" s="480"/>
      <c r="M142" s="480"/>
      <c r="N142" s="480"/>
      <c r="O142" s="480"/>
      <c r="R142" s="491" t="s">
        <v>836</v>
      </c>
      <c r="S142" s="491"/>
      <c r="T142" s="492"/>
      <c r="U142" s="493"/>
    </row>
    <row r="143" s="80" customFormat="1" ht="12.75" spans="1:21">
      <c r="A143" s="397"/>
      <c r="B143" s="422">
        <v>25</v>
      </c>
      <c r="C143" s="423">
        <f t="shared" si="17"/>
        <v>2049</v>
      </c>
      <c r="D143" s="471">
        <f t="shared" si="20"/>
        <v>785473.352350532</v>
      </c>
      <c r="E143" s="471">
        <f t="shared" si="15"/>
        <v>18631427.9177546</v>
      </c>
      <c r="F143" s="471">
        <f t="shared" si="19"/>
        <v>15237165.6334162</v>
      </c>
      <c r="G143" s="471">
        <f t="shared" si="16"/>
        <v>33868593.5511708</v>
      </c>
      <c r="H143" s="480"/>
      <c r="I143" s="480"/>
      <c r="J143" s="480"/>
      <c r="K143" s="480"/>
      <c r="L143" s="480"/>
      <c r="M143" s="480"/>
      <c r="N143" s="480"/>
      <c r="O143" s="480"/>
      <c r="R143" s="491" t="s">
        <v>824</v>
      </c>
      <c r="S143" s="491" t="s">
        <v>833</v>
      </c>
      <c r="T143" s="506">
        <v>25269177.7724193</v>
      </c>
      <c r="U143" s="510">
        <v>6459789.80648313</v>
      </c>
    </row>
    <row r="144" s="80" customFormat="1" ht="15.75" spans="1:21">
      <c r="A144" s="397"/>
      <c r="B144" s="422">
        <v>26</v>
      </c>
      <c r="C144" s="423">
        <f t="shared" si="17"/>
        <v>2050</v>
      </c>
      <c r="D144" s="471">
        <f t="shared" si="20"/>
        <v>785473.352350532</v>
      </c>
      <c r="E144" s="471">
        <f t="shared" si="15"/>
        <v>18631427.9177546</v>
      </c>
      <c r="F144" s="471">
        <f t="shared" si="19"/>
        <v>15237165.6334162</v>
      </c>
      <c r="G144" s="471">
        <f t="shared" si="16"/>
        <v>33868593.5511708</v>
      </c>
      <c r="H144" s="480"/>
      <c r="I144" s="480"/>
      <c r="J144" s="480"/>
      <c r="K144" s="480"/>
      <c r="L144" s="480"/>
      <c r="M144" s="480"/>
      <c r="N144" s="480"/>
      <c r="O144" s="480"/>
      <c r="R144" s="491" t="s">
        <v>827</v>
      </c>
      <c r="S144" s="491" t="s">
        <v>833</v>
      </c>
      <c r="T144" s="511" t="s">
        <v>262</v>
      </c>
      <c r="U144" s="512">
        <v>2592856.80813856</v>
      </c>
    </row>
    <row r="145" s="80" customFormat="1" ht="13.5" spans="1:21">
      <c r="A145" s="397"/>
      <c r="B145" s="422">
        <v>27</v>
      </c>
      <c r="C145" s="423">
        <f t="shared" si="17"/>
        <v>2051</v>
      </c>
      <c r="D145" s="471">
        <f t="shared" si="20"/>
        <v>785473.352350532</v>
      </c>
      <c r="E145" s="471">
        <f t="shared" si="15"/>
        <v>18631427.9177546</v>
      </c>
      <c r="F145" s="471">
        <f t="shared" si="19"/>
        <v>15237165.6334162</v>
      </c>
      <c r="G145" s="471">
        <f t="shared" si="16"/>
        <v>33868593.5511708</v>
      </c>
      <c r="H145" s="480"/>
      <c r="I145" s="480"/>
      <c r="J145" s="480"/>
      <c r="K145" s="480"/>
      <c r="L145" s="480"/>
      <c r="M145" s="480"/>
      <c r="N145" s="480"/>
      <c r="O145" s="480"/>
      <c r="R145" s="491"/>
      <c r="S145" s="491" t="s">
        <v>833</v>
      </c>
      <c r="T145" s="508">
        <v>25269177.7724193</v>
      </c>
      <c r="U145" s="509">
        <v>9052646.61462169</v>
      </c>
    </row>
    <row r="146" s="80" customFormat="1" ht="13.5" spans="1:21">
      <c r="A146" s="397"/>
      <c r="B146" s="422">
        <v>28</v>
      </c>
      <c r="C146" s="423">
        <f t="shared" si="17"/>
        <v>2052</v>
      </c>
      <c r="D146" s="471">
        <f t="shared" si="20"/>
        <v>785473.352350532</v>
      </c>
      <c r="E146" s="471">
        <f t="shared" si="15"/>
        <v>18631427.9177546</v>
      </c>
      <c r="F146" s="471">
        <f t="shared" si="19"/>
        <v>15237165.6334162</v>
      </c>
      <c r="G146" s="471">
        <f t="shared" si="16"/>
        <v>33868593.5511708</v>
      </c>
      <c r="H146" s="480"/>
      <c r="I146" s="480"/>
      <c r="J146" s="480"/>
      <c r="K146" s="480"/>
      <c r="L146" s="480"/>
      <c r="M146" s="480"/>
      <c r="N146" s="480"/>
      <c r="O146" s="480"/>
      <c r="R146" s="491" t="s">
        <v>837</v>
      </c>
      <c r="S146" s="491"/>
      <c r="T146" s="492"/>
      <c r="U146" s="493"/>
    </row>
    <row r="147" s="80" customFormat="1" ht="12.75" spans="1:21">
      <c r="A147" s="397"/>
      <c r="B147" s="422">
        <v>29</v>
      </c>
      <c r="C147" s="423">
        <f t="shared" si="17"/>
        <v>2053</v>
      </c>
      <c r="D147" s="471">
        <f t="shared" si="20"/>
        <v>785473.352350532</v>
      </c>
      <c r="E147" s="471">
        <f t="shared" si="15"/>
        <v>18631427.9177546</v>
      </c>
      <c r="F147" s="471">
        <f t="shared" si="19"/>
        <v>15237165.6334162</v>
      </c>
      <c r="G147" s="471">
        <f t="shared" si="16"/>
        <v>33868593.5511708</v>
      </c>
      <c r="H147" s="480"/>
      <c r="I147" s="480"/>
      <c r="J147" s="480"/>
      <c r="K147" s="480"/>
      <c r="L147" s="480"/>
      <c r="M147" s="480"/>
      <c r="N147" s="480"/>
      <c r="O147" s="480"/>
      <c r="R147" s="491" t="s">
        <v>824</v>
      </c>
      <c r="S147" s="491" t="s">
        <v>27</v>
      </c>
      <c r="T147" s="494">
        <v>1468071.33027854</v>
      </c>
      <c r="U147" s="495">
        <v>375296.430296769</v>
      </c>
    </row>
    <row r="148" s="80" customFormat="1" ht="15.75" spans="1:21">
      <c r="A148" s="397"/>
      <c r="B148" s="422">
        <v>30</v>
      </c>
      <c r="C148" s="423">
        <f t="shared" si="17"/>
        <v>2054</v>
      </c>
      <c r="D148" s="471">
        <f t="shared" si="20"/>
        <v>785473.352350532</v>
      </c>
      <c r="E148" s="471">
        <f t="shared" si="15"/>
        <v>18631427.9177546</v>
      </c>
      <c r="F148" s="471">
        <f t="shared" si="19"/>
        <v>15237165.6334162</v>
      </c>
      <c r="G148" s="471">
        <f t="shared" si="16"/>
        <v>33868593.5511708</v>
      </c>
      <c r="H148" s="480"/>
      <c r="I148" s="480"/>
      <c r="J148" s="480"/>
      <c r="K148" s="480"/>
      <c r="L148" s="480"/>
      <c r="M148" s="480"/>
      <c r="N148" s="480"/>
      <c r="O148" s="480"/>
      <c r="R148" s="491" t="s">
        <v>827</v>
      </c>
      <c r="S148" s="491" t="s">
        <v>27</v>
      </c>
      <c r="T148" s="511"/>
      <c r="U148" s="497">
        <v>345714.241085141</v>
      </c>
    </row>
    <row r="149" s="80" customFormat="1" ht="13.5" spans="1:21">
      <c r="A149" s="397"/>
      <c r="B149" s="422">
        <v>31</v>
      </c>
      <c r="C149" s="423">
        <f t="shared" si="17"/>
        <v>2055</v>
      </c>
      <c r="D149" s="471">
        <f t="shared" si="20"/>
        <v>785473.352350532</v>
      </c>
      <c r="E149" s="471">
        <f t="shared" si="15"/>
        <v>18631427.9177546</v>
      </c>
      <c r="F149" s="471">
        <f t="shared" si="19"/>
        <v>15237165.6334162</v>
      </c>
      <c r="G149" s="471">
        <f t="shared" si="16"/>
        <v>33868593.5511708</v>
      </c>
      <c r="H149" s="480"/>
      <c r="I149" s="480"/>
      <c r="J149" s="480"/>
      <c r="K149" s="480"/>
      <c r="L149" s="480"/>
      <c r="M149" s="480"/>
      <c r="N149" s="480"/>
      <c r="O149" s="480"/>
      <c r="R149" s="491"/>
      <c r="S149" s="491" t="s">
        <v>27</v>
      </c>
      <c r="T149" s="504">
        <v>1468071.33027854</v>
      </c>
      <c r="U149" s="504">
        <v>721010.67138191</v>
      </c>
    </row>
    <row r="150" s="80" customFormat="1" ht="13.5" spans="1:21">
      <c r="A150" s="397"/>
      <c r="B150" s="422">
        <v>32</v>
      </c>
      <c r="C150" s="423">
        <f t="shared" si="17"/>
        <v>2056</v>
      </c>
      <c r="D150" s="471">
        <f t="shared" si="20"/>
        <v>785473.352350532</v>
      </c>
      <c r="E150" s="471">
        <f t="shared" si="15"/>
        <v>18631427.9177546</v>
      </c>
      <c r="F150" s="471">
        <f t="shared" si="19"/>
        <v>15237165.6334162</v>
      </c>
      <c r="G150" s="471">
        <f t="shared" si="16"/>
        <v>33868593.5511708</v>
      </c>
      <c r="H150" s="480"/>
      <c r="I150" s="480"/>
      <c r="J150" s="480"/>
      <c r="K150" s="480"/>
      <c r="L150" s="480"/>
      <c r="M150" s="480"/>
      <c r="N150" s="480"/>
      <c r="O150" s="480"/>
      <c r="R150" s="491" t="s">
        <v>838</v>
      </c>
      <c r="S150" s="491"/>
      <c r="T150" s="492"/>
      <c r="U150" s="493"/>
    </row>
    <row r="151" s="80" customFormat="1" ht="12.75" spans="1:21">
      <c r="A151" s="397"/>
      <c r="B151" s="422">
        <v>33</v>
      </c>
      <c r="C151" s="423">
        <f t="shared" si="17"/>
        <v>2057</v>
      </c>
      <c r="D151" s="471">
        <f t="shared" si="20"/>
        <v>785473.352350532</v>
      </c>
      <c r="E151" s="471">
        <f t="shared" si="15"/>
        <v>18631427.9177546</v>
      </c>
      <c r="F151" s="471">
        <f t="shared" si="19"/>
        <v>15237165.6334162</v>
      </c>
      <c r="G151" s="471">
        <f t="shared" si="16"/>
        <v>33868593.5511708</v>
      </c>
      <c r="H151" s="480"/>
      <c r="I151" s="480"/>
      <c r="J151" s="480"/>
      <c r="K151" s="480"/>
      <c r="L151" s="480"/>
      <c r="M151" s="480"/>
      <c r="N151" s="480"/>
      <c r="O151" s="480"/>
      <c r="R151" s="491" t="s">
        <v>824</v>
      </c>
      <c r="S151" s="491" t="s">
        <v>833</v>
      </c>
      <c r="T151" s="506">
        <v>29108310.858971</v>
      </c>
      <c r="U151" s="506">
        <v>7441222.32484973</v>
      </c>
    </row>
    <row r="152" s="80" customFormat="1" ht="15.75" spans="1:21">
      <c r="A152" s="397"/>
      <c r="B152" s="422">
        <v>34</v>
      </c>
      <c r="C152" s="423">
        <f t="shared" si="17"/>
        <v>2058</v>
      </c>
      <c r="D152" s="471">
        <f t="shared" si="20"/>
        <v>785473.352350532</v>
      </c>
      <c r="E152" s="471">
        <f t="shared" si="15"/>
        <v>18631427.9177546</v>
      </c>
      <c r="F152" s="471">
        <f t="shared" si="19"/>
        <v>15237165.6334162</v>
      </c>
      <c r="G152" s="471">
        <f t="shared" si="16"/>
        <v>33868593.5511708</v>
      </c>
      <c r="H152" s="480"/>
      <c r="I152" s="480"/>
      <c r="J152" s="480"/>
      <c r="K152" s="480"/>
      <c r="L152" s="480"/>
      <c r="M152" s="480"/>
      <c r="N152" s="480"/>
      <c r="O152" s="480"/>
      <c r="R152" s="491" t="s">
        <v>827</v>
      </c>
      <c r="S152" s="491" t="s">
        <v>833</v>
      </c>
      <c r="T152" s="513"/>
      <c r="U152" s="514">
        <v>6854678.91806746</v>
      </c>
    </row>
    <row r="153" s="80" customFormat="1" ht="13.5" spans="1:21">
      <c r="A153" s="397"/>
      <c r="B153" s="422">
        <v>35</v>
      </c>
      <c r="C153" s="423">
        <f t="shared" si="17"/>
        <v>2059</v>
      </c>
      <c r="D153" s="471">
        <f t="shared" si="20"/>
        <v>785473.352350532</v>
      </c>
      <c r="E153" s="471">
        <f t="shared" si="15"/>
        <v>18631427.9177546</v>
      </c>
      <c r="F153" s="471">
        <f t="shared" si="19"/>
        <v>15237165.6334162</v>
      </c>
      <c r="G153" s="471">
        <f t="shared" si="16"/>
        <v>33868593.5511708</v>
      </c>
      <c r="H153" s="480"/>
      <c r="I153" s="480"/>
      <c r="J153" s="480"/>
      <c r="K153" s="480"/>
      <c r="L153" s="480"/>
      <c r="M153" s="480"/>
      <c r="N153" s="480"/>
      <c r="O153" s="480"/>
      <c r="R153" s="491"/>
      <c r="S153" s="491" t="s">
        <v>833</v>
      </c>
      <c r="T153" s="508">
        <v>29108310.858971</v>
      </c>
      <c r="U153" s="509">
        <v>14295901.2429172</v>
      </c>
    </row>
    <row r="154" s="80" customFormat="1" ht="12.75" spans="1:15">
      <c r="A154" s="397"/>
      <c r="B154" s="422">
        <v>36</v>
      </c>
      <c r="C154" s="423">
        <f t="shared" si="17"/>
        <v>2060</v>
      </c>
      <c r="D154" s="471">
        <f t="shared" ref="D154:D157" si="21">+D153</f>
        <v>785473.352350532</v>
      </c>
      <c r="E154" s="471">
        <f t="shared" si="15"/>
        <v>18631427.9177546</v>
      </c>
      <c r="F154" s="471">
        <f t="shared" si="19"/>
        <v>15237165.6334162</v>
      </c>
      <c r="G154" s="471">
        <f t="shared" si="16"/>
        <v>33868593.5511708</v>
      </c>
      <c r="H154" s="480"/>
      <c r="I154" s="480"/>
      <c r="J154" s="480"/>
      <c r="K154" s="480"/>
      <c r="L154" s="480"/>
      <c r="M154" s="480"/>
      <c r="N154" s="480"/>
      <c r="O154" s="480"/>
    </row>
    <row r="155" s="80" customFormat="1" ht="12.75" spans="2:7">
      <c r="B155" s="422">
        <v>37</v>
      </c>
      <c r="C155" s="423">
        <f t="shared" si="17"/>
        <v>2061</v>
      </c>
      <c r="D155" s="471">
        <f t="shared" si="21"/>
        <v>785473.352350532</v>
      </c>
      <c r="E155" s="471">
        <f t="shared" si="15"/>
        <v>18631427.9177546</v>
      </c>
      <c r="F155" s="471">
        <f t="shared" si="19"/>
        <v>15237165.6334162</v>
      </c>
      <c r="G155" s="471">
        <f t="shared" si="16"/>
        <v>33868593.5511708</v>
      </c>
    </row>
    <row r="156" s="80" customFormat="1" ht="12.75" spans="2:7">
      <c r="B156" s="422">
        <v>38</v>
      </c>
      <c r="C156" s="423">
        <f t="shared" si="17"/>
        <v>2062</v>
      </c>
      <c r="D156" s="471">
        <f t="shared" si="21"/>
        <v>785473.352350532</v>
      </c>
      <c r="E156" s="471">
        <f t="shared" si="15"/>
        <v>18631427.9177546</v>
      </c>
      <c r="F156" s="471">
        <f t="shared" si="19"/>
        <v>15237165.6334162</v>
      </c>
      <c r="G156" s="471">
        <f t="shared" si="16"/>
        <v>33868593.5511708</v>
      </c>
    </row>
    <row r="157" s="80" customFormat="1" ht="12.75" spans="2:7">
      <c r="B157" s="422">
        <v>39</v>
      </c>
      <c r="C157" s="423">
        <f t="shared" si="17"/>
        <v>2063</v>
      </c>
      <c r="D157" s="471">
        <f t="shared" si="21"/>
        <v>785473.352350532</v>
      </c>
      <c r="E157" s="471">
        <f t="shared" si="15"/>
        <v>18631427.9177546</v>
      </c>
      <c r="F157" s="471">
        <f t="shared" si="19"/>
        <v>15237165.6334162</v>
      </c>
      <c r="G157" s="471">
        <f t="shared" si="16"/>
        <v>33868593.5511708</v>
      </c>
    </row>
    <row r="158" s="80" customFormat="1" ht="12.75" spans="2:7">
      <c r="B158" s="412" t="s">
        <v>789</v>
      </c>
      <c r="C158" s="412"/>
      <c r="D158" s="412"/>
      <c r="E158" s="412"/>
      <c r="G158" s="498"/>
    </row>
    <row r="159" s="80" customFormat="1" ht="12.75"/>
    <row r="160" s="80" customFormat="1" ht="12.75"/>
    <row r="161" s="80" customFormat="1" ht="18.75" spans="2:16">
      <c r="B161" s="499" t="s">
        <v>839</v>
      </c>
      <c r="C161" s="499"/>
      <c r="D161" s="499"/>
      <c r="E161" s="499"/>
      <c r="F161" s="499"/>
      <c r="G161" s="499"/>
      <c r="H161" s="499"/>
      <c r="I161" s="499"/>
      <c r="J161" s="499"/>
      <c r="K161" s="499"/>
      <c r="L161" s="499"/>
      <c r="M161" s="499"/>
      <c r="N161" s="499"/>
      <c r="O161" s="499"/>
      <c r="P161" s="499"/>
    </row>
    <row r="162" s="80" customFormat="1" ht="18.75" spans="2:16">
      <c r="B162" s="500"/>
      <c r="C162" s="500"/>
      <c r="D162" s="500"/>
      <c r="E162" s="500"/>
      <c r="F162" s="500"/>
      <c r="G162" s="500"/>
      <c r="H162" s="500"/>
      <c r="I162" s="500"/>
      <c r="J162" s="500"/>
      <c r="K162" s="500"/>
      <c r="L162" s="500"/>
      <c r="M162" s="500"/>
      <c r="N162" s="500"/>
      <c r="O162" s="500"/>
      <c r="P162" s="500"/>
    </row>
    <row r="163" s="80" customFormat="1" ht="12.75" spans="2:2">
      <c r="B163" s="399" t="s">
        <v>840</v>
      </c>
    </row>
    <row r="164" s="80" customFormat="1" ht="51" spans="2:9">
      <c r="B164" s="467" t="s">
        <v>200</v>
      </c>
      <c r="C164" s="468"/>
      <c r="D164" s="154" t="s">
        <v>841</v>
      </c>
      <c r="E164" s="154" t="s">
        <v>842</v>
      </c>
      <c r="H164" s="154" t="s">
        <v>843</v>
      </c>
      <c r="I164" s="503">
        <v>2.7</v>
      </c>
    </row>
    <row r="165" s="80" customFormat="1" ht="13.95" customHeight="1" spans="2:11">
      <c r="B165" s="422">
        <v>0</v>
      </c>
      <c r="C165" s="422">
        <v>2024</v>
      </c>
      <c r="D165" s="461">
        <v>0</v>
      </c>
      <c r="E165" s="479">
        <v>0</v>
      </c>
      <c r="H165" s="412" t="s">
        <v>844</v>
      </c>
      <c r="I165" s="412"/>
      <c r="J165" s="412"/>
      <c r="K165" s="412"/>
    </row>
    <row r="166" s="80" customFormat="1" ht="12.75" spans="2:11">
      <c r="B166" s="422">
        <v>1</v>
      </c>
      <c r="C166" s="422">
        <f>C165+1</f>
        <v>2025</v>
      </c>
      <c r="D166" s="461">
        <f t="shared" ref="D166" si="22">+D119*2.7/1000</f>
        <v>0</v>
      </c>
      <c r="E166" s="479">
        <f>+D166*'I. Parametros Grales'!E171*'I. Parametros Grales'!$C$160</f>
        <v>0</v>
      </c>
      <c r="F166" s="501"/>
      <c r="H166" s="412"/>
      <c r="I166" s="412"/>
      <c r="J166" s="412"/>
      <c r="K166" s="412"/>
    </row>
    <row r="167" s="80" customFormat="1" ht="12.75" spans="2:6">
      <c r="B167" s="422">
        <v>2</v>
      </c>
      <c r="C167" s="422">
        <f t="shared" ref="C167:C204" si="23">C166+1</f>
        <v>2026</v>
      </c>
      <c r="D167" s="461">
        <f>+D120*$I$164/1000</f>
        <v>2120.77805134644</v>
      </c>
      <c r="E167" s="479">
        <f>+D167*'I. Parametros Grales'!E172*'I. Parametros Grales'!$C$160</f>
        <v>2782630.46561063</v>
      </c>
      <c r="F167" s="501"/>
    </row>
    <row r="168" s="80" customFormat="1" ht="12.75" spans="2:6">
      <c r="B168" s="422">
        <v>3</v>
      </c>
      <c r="C168" s="422">
        <f t="shared" si="23"/>
        <v>2027</v>
      </c>
      <c r="D168" s="461">
        <f t="shared" ref="D168:D204" si="24">+D121*$I$164/1000</f>
        <v>2120.77805134644</v>
      </c>
      <c r="E168" s="479">
        <f>+D168*'I. Parametros Grales'!E173*'I. Parametros Grales'!$C$160</f>
        <v>2824791.5332714</v>
      </c>
      <c r="F168" s="501"/>
    </row>
    <row r="169" s="80" customFormat="1" ht="12.75" spans="2:6">
      <c r="B169" s="422">
        <v>4</v>
      </c>
      <c r="C169" s="422">
        <f t="shared" si="23"/>
        <v>2028</v>
      </c>
      <c r="D169" s="461">
        <f t="shared" si="24"/>
        <v>2120.77805134644</v>
      </c>
      <c r="E169" s="479">
        <f>+D169*'I. Parametros Grales'!E174*'I. Parametros Grales'!$C$160</f>
        <v>2866952.60093217</v>
      </c>
      <c r="F169" s="501"/>
    </row>
    <row r="170" s="80" customFormat="1" ht="12.75" spans="2:6">
      <c r="B170" s="422">
        <v>5</v>
      </c>
      <c r="C170" s="422">
        <f t="shared" si="23"/>
        <v>2029</v>
      </c>
      <c r="D170" s="461">
        <f t="shared" si="24"/>
        <v>2120.77805134644</v>
      </c>
      <c r="E170" s="479">
        <f>+D170*'I. Parametros Grales'!E175*'I. Parametros Grales'!$C$160</f>
        <v>2909113.66859293</v>
      </c>
      <c r="F170" s="501"/>
    </row>
    <row r="171" s="80" customFormat="1" ht="12.75" spans="2:6">
      <c r="B171" s="422">
        <v>6</v>
      </c>
      <c r="C171" s="422">
        <f t="shared" si="23"/>
        <v>2030</v>
      </c>
      <c r="D171" s="461">
        <f t="shared" si="24"/>
        <v>2120.77805134644</v>
      </c>
      <c r="E171" s="479">
        <f>+D171*'I. Parametros Grales'!E176*'I. Parametros Grales'!$C$160</f>
        <v>2951274.7362537</v>
      </c>
      <c r="F171" s="501"/>
    </row>
    <row r="172" s="80" customFormat="1" ht="12.75" spans="2:6">
      <c r="B172" s="422">
        <v>7</v>
      </c>
      <c r="C172" s="422">
        <f t="shared" si="23"/>
        <v>2031</v>
      </c>
      <c r="D172" s="461">
        <f t="shared" si="24"/>
        <v>2120.77805134644</v>
      </c>
      <c r="E172" s="479">
        <f>+D172*'I. Parametros Grales'!E177*'I. Parametros Grales'!$C$160</f>
        <v>3017678.41781941</v>
      </c>
      <c r="F172" s="501"/>
    </row>
    <row r="173" s="80" customFormat="1" ht="12.75" spans="2:6">
      <c r="B173" s="422">
        <v>8</v>
      </c>
      <c r="C173" s="422">
        <f t="shared" si="23"/>
        <v>2032</v>
      </c>
      <c r="D173" s="461">
        <f t="shared" si="24"/>
        <v>2120.77805134644</v>
      </c>
      <c r="E173" s="479">
        <f>+D173*'I. Parametros Grales'!E178*'I. Parametros Grales'!$C$160</f>
        <v>3085576.18222034</v>
      </c>
      <c r="F173" s="501"/>
    </row>
    <row r="174" s="80" customFormat="1" ht="12.75" spans="2:6">
      <c r="B174" s="422">
        <v>9</v>
      </c>
      <c r="C174" s="422">
        <f t="shared" si="23"/>
        <v>2033</v>
      </c>
      <c r="D174" s="461">
        <f t="shared" si="24"/>
        <v>2120.77805134644</v>
      </c>
      <c r="E174" s="479">
        <f>+D174*'I. Parametros Grales'!E179*'I. Parametros Grales'!$C$160</f>
        <v>3155001.6463203</v>
      </c>
      <c r="F174" s="501"/>
    </row>
    <row r="175" s="80" customFormat="1" ht="12.75" spans="2:6">
      <c r="B175" s="422">
        <v>10</v>
      </c>
      <c r="C175" s="422">
        <f t="shared" si="23"/>
        <v>2034</v>
      </c>
      <c r="D175" s="461">
        <f t="shared" si="24"/>
        <v>2120.77805134644</v>
      </c>
      <c r="E175" s="479">
        <f>+D175*'I. Parametros Grales'!E180*'I. Parametros Grales'!$C$160</f>
        <v>3225989.18336251</v>
      </c>
      <c r="F175" s="501"/>
    </row>
    <row r="176" s="80" customFormat="1" ht="12.75" spans="2:6">
      <c r="B176" s="422">
        <v>11</v>
      </c>
      <c r="C176" s="422">
        <f t="shared" si="23"/>
        <v>2035</v>
      </c>
      <c r="D176" s="461">
        <f t="shared" si="24"/>
        <v>2120.77805134644</v>
      </c>
      <c r="E176" s="479">
        <f>+D176*'I. Parametros Grales'!E181*'I. Parametros Grales'!$C$160</f>
        <v>3298573.93998817</v>
      </c>
      <c r="F176" s="501"/>
    </row>
    <row r="177" s="80" customFormat="1" ht="12.75" spans="2:6">
      <c r="B177" s="422">
        <v>12</v>
      </c>
      <c r="C177" s="422">
        <f t="shared" si="23"/>
        <v>2036</v>
      </c>
      <c r="D177" s="461">
        <f t="shared" si="24"/>
        <v>2120.77805134644</v>
      </c>
      <c r="E177" s="479">
        <f>+D177*'I. Parametros Grales'!E182*'I. Parametros Grales'!$C$160</f>
        <v>3372791.8536379</v>
      </c>
      <c r="F177" s="501"/>
    </row>
    <row r="178" s="80" customFormat="1" ht="12.75" spans="2:6">
      <c r="B178" s="422">
        <v>13</v>
      </c>
      <c r="C178" s="422">
        <f t="shared" si="23"/>
        <v>2037</v>
      </c>
      <c r="D178" s="461">
        <f t="shared" si="24"/>
        <v>2120.77805134644</v>
      </c>
      <c r="E178" s="479">
        <f>+D178*'I. Parametros Grales'!E183*'I. Parametros Grales'!$C$160</f>
        <v>3448679.67034475</v>
      </c>
      <c r="F178" s="501"/>
    </row>
    <row r="179" s="80" customFormat="1" ht="12.75" spans="2:6">
      <c r="B179" s="422">
        <v>14</v>
      </c>
      <c r="C179" s="422">
        <f t="shared" si="23"/>
        <v>2038</v>
      </c>
      <c r="D179" s="461">
        <f t="shared" si="24"/>
        <v>2120.77805134644</v>
      </c>
      <c r="E179" s="479">
        <f>+D179*'I. Parametros Grales'!E184*'I. Parametros Grales'!$C$160</f>
        <v>3526274.96292751</v>
      </c>
      <c r="F179" s="501"/>
    </row>
    <row r="180" s="80" customFormat="1" ht="12.75" spans="2:6">
      <c r="B180" s="422">
        <v>15</v>
      </c>
      <c r="C180" s="422">
        <f t="shared" si="23"/>
        <v>2039</v>
      </c>
      <c r="D180" s="461">
        <f t="shared" si="24"/>
        <v>2120.77805134644</v>
      </c>
      <c r="E180" s="479">
        <f>+D180*'I. Parametros Grales'!E185*'I. Parametros Grales'!$C$160</f>
        <v>3605616.14959338</v>
      </c>
      <c r="F180" s="501"/>
    </row>
    <row r="181" s="80" customFormat="1" ht="12.75" spans="2:6">
      <c r="B181" s="422">
        <v>16</v>
      </c>
      <c r="C181" s="422">
        <f t="shared" si="23"/>
        <v>2040</v>
      </c>
      <c r="D181" s="461">
        <f t="shared" si="24"/>
        <v>2120.77805134644</v>
      </c>
      <c r="E181" s="479">
        <f>+D181*'I. Parametros Grales'!E186*'I. Parametros Grales'!$C$160</f>
        <v>3686742.51295923</v>
      </c>
      <c r="F181" s="501"/>
    </row>
    <row r="182" s="80" customFormat="1" ht="12.75" spans="2:6">
      <c r="B182" s="422">
        <v>17</v>
      </c>
      <c r="C182" s="422">
        <f t="shared" si="23"/>
        <v>2041</v>
      </c>
      <c r="D182" s="461">
        <f t="shared" si="24"/>
        <v>2120.77805134644</v>
      </c>
      <c r="E182" s="479">
        <f>+D182*'I. Parametros Grales'!E187*'I. Parametros Grales'!$C$160</f>
        <v>3769694.21950081</v>
      </c>
      <c r="F182" s="501"/>
    </row>
    <row r="183" s="80" customFormat="1" ht="12.75" spans="2:6">
      <c r="B183" s="422">
        <v>18</v>
      </c>
      <c r="C183" s="422">
        <f t="shared" si="23"/>
        <v>2042</v>
      </c>
      <c r="D183" s="461">
        <f t="shared" si="24"/>
        <v>2120.77805134644</v>
      </c>
      <c r="E183" s="479">
        <f>+D183*'I. Parametros Grales'!E188*'I. Parametros Grales'!$C$160</f>
        <v>3854512.33943958</v>
      </c>
      <c r="F183" s="501"/>
    </row>
    <row r="184" s="80" customFormat="1" ht="12.75" spans="2:6">
      <c r="B184" s="422">
        <v>19</v>
      </c>
      <c r="C184" s="422">
        <f t="shared" si="23"/>
        <v>2043</v>
      </c>
      <c r="D184" s="461">
        <f t="shared" si="24"/>
        <v>2120.77805134644</v>
      </c>
      <c r="E184" s="479">
        <f>+D184*'I. Parametros Grales'!E189*'I. Parametros Grales'!$C$160</f>
        <v>3941238.86707697</v>
      </c>
      <c r="F184" s="501"/>
    </row>
    <row r="185" s="80" customFormat="1" ht="12.75" spans="2:6">
      <c r="B185" s="422">
        <v>20</v>
      </c>
      <c r="C185" s="422">
        <f t="shared" si="23"/>
        <v>2044</v>
      </c>
      <c r="D185" s="461">
        <f t="shared" si="24"/>
        <v>2120.77805134644</v>
      </c>
      <c r="E185" s="479">
        <f>+D185*'I. Parametros Grales'!E190*'I. Parametros Grales'!$C$160</f>
        <v>4029916.7415862</v>
      </c>
      <c r="F185" s="501"/>
    </row>
    <row r="186" s="80" customFormat="1" ht="12.75" spans="2:5">
      <c r="B186" s="422">
        <v>21</v>
      </c>
      <c r="C186" s="422">
        <f t="shared" si="23"/>
        <v>2045</v>
      </c>
      <c r="D186" s="461">
        <f t="shared" si="24"/>
        <v>2120.77805134644</v>
      </c>
      <c r="E186" s="479">
        <f>+D186*'I. Parametros Grales'!E191*'I. Parametros Grales'!$C$160</f>
        <v>4120589.86827189</v>
      </c>
    </row>
    <row r="187" s="80" customFormat="1" ht="12.75" spans="2:5">
      <c r="B187" s="422">
        <v>22</v>
      </c>
      <c r="C187" s="422">
        <f t="shared" si="23"/>
        <v>2046</v>
      </c>
      <c r="D187" s="461">
        <f t="shared" si="24"/>
        <v>2120.77805134644</v>
      </c>
      <c r="E187" s="479">
        <f>+D187*'I. Parametros Grales'!E192*'I. Parametros Grales'!$C$160</f>
        <v>4213303.14030801</v>
      </c>
    </row>
    <row r="188" s="80" customFormat="1" ht="12.75" spans="2:5">
      <c r="B188" s="422">
        <v>23</v>
      </c>
      <c r="C188" s="422">
        <f t="shared" si="23"/>
        <v>2047</v>
      </c>
      <c r="D188" s="461">
        <f t="shared" si="24"/>
        <v>2120.77805134644</v>
      </c>
      <c r="E188" s="479">
        <f>+D188*'I. Parametros Grales'!E193*'I. Parametros Grales'!$C$160</f>
        <v>4308102.46096494</v>
      </c>
    </row>
    <row r="189" s="80" customFormat="1" ht="12.75" spans="2:7">
      <c r="B189" s="422">
        <v>24</v>
      </c>
      <c r="C189" s="422">
        <f t="shared" si="23"/>
        <v>2048</v>
      </c>
      <c r="D189" s="461">
        <f t="shared" si="24"/>
        <v>2120.77805134644</v>
      </c>
      <c r="E189" s="479">
        <f>+D189*'I. Parametros Grales'!E194*'I. Parametros Grales'!$C$160</f>
        <v>4405034.76633665</v>
      </c>
      <c r="F189" s="502"/>
      <c r="G189" s="502"/>
    </row>
    <row r="190" s="80" customFormat="1" ht="12.75" spans="2:5">
      <c r="B190" s="422">
        <v>25</v>
      </c>
      <c r="C190" s="422">
        <f t="shared" si="23"/>
        <v>2049</v>
      </c>
      <c r="D190" s="461">
        <f t="shared" si="24"/>
        <v>2120.77805134644</v>
      </c>
      <c r="E190" s="479">
        <f>+D190*'I. Parametros Grales'!E195*'I. Parametros Grales'!$C$160</f>
        <v>4504148.04857922</v>
      </c>
    </row>
    <row r="191" s="80" customFormat="1" ht="12.75" spans="2:5">
      <c r="B191" s="422">
        <v>26</v>
      </c>
      <c r="C191" s="422">
        <f t="shared" si="23"/>
        <v>2050</v>
      </c>
      <c r="D191" s="461">
        <f t="shared" si="24"/>
        <v>2120.77805134644</v>
      </c>
      <c r="E191" s="479">
        <f>+D191*'I. Parametros Grales'!E196*'I. Parametros Grales'!$C$160</f>
        <v>4605491.37967225</v>
      </c>
    </row>
    <row r="192" s="80" customFormat="1" ht="12.75" spans="2:5">
      <c r="B192" s="422">
        <v>27</v>
      </c>
      <c r="C192" s="422">
        <f t="shared" si="23"/>
        <v>2051</v>
      </c>
      <c r="D192" s="461">
        <f t="shared" si="24"/>
        <v>2120.77805134644</v>
      </c>
      <c r="E192" s="479">
        <f>+D192*'I. Parametros Grales'!E197*'I. Parametros Grales'!$C$160</f>
        <v>4709114.93571488</v>
      </c>
    </row>
    <row r="193" s="80" customFormat="1" ht="12.75" spans="2:5">
      <c r="B193" s="422">
        <v>28</v>
      </c>
      <c r="C193" s="422">
        <f t="shared" si="23"/>
        <v>2052</v>
      </c>
      <c r="D193" s="461">
        <f t="shared" si="24"/>
        <v>2120.77805134644</v>
      </c>
      <c r="E193" s="479">
        <f>+D193*'I. Parametros Grales'!E198*'I. Parametros Grales'!$C$160</f>
        <v>4815070.02176846</v>
      </c>
    </row>
    <row r="194" s="80" customFormat="1" ht="12.75" spans="2:5">
      <c r="B194" s="422">
        <v>29</v>
      </c>
      <c r="C194" s="422">
        <f t="shared" si="23"/>
        <v>2053</v>
      </c>
      <c r="D194" s="461">
        <f t="shared" si="24"/>
        <v>2120.77805134644</v>
      </c>
      <c r="E194" s="479">
        <f>+D194*'I. Parametros Grales'!E199*'I. Parametros Grales'!$C$160</f>
        <v>4923409.09725825</v>
      </c>
    </row>
    <row r="195" s="80" customFormat="1" ht="12.75" spans="2:5">
      <c r="B195" s="422">
        <v>30</v>
      </c>
      <c r="C195" s="422">
        <f t="shared" si="23"/>
        <v>2054</v>
      </c>
      <c r="D195" s="461">
        <f t="shared" si="24"/>
        <v>2120.77805134644</v>
      </c>
      <c r="E195" s="479">
        <f>+D195*'I. Parametros Grales'!E200*'I. Parametros Grales'!$C$160</f>
        <v>5034185.80194657</v>
      </c>
    </row>
    <row r="196" s="80" customFormat="1" ht="12.75" spans="2:5">
      <c r="B196" s="422">
        <v>31</v>
      </c>
      <c r="C196" s="422">
        <f t="shared" si="23"/>
        <v>2055</v>
      </c>
      <c r="D196" s="461">
        <f t="shared" si="24"/>
        <v>2120.77805134644</v>
      </c>
      <c r="E196" s="479">
        <f>+D196*'I. Parametros Grales'!E201*'I. Parametros Grales'!$C$160</f>
        <v>5147454.98249036</v>
      </c>
    </row>
    <row r="197" s="80" customFormat="1" ht="12.75" spans="2:5">
      <c r="B197" s="422">
        <v>32</v>
      </c>
      <c r="C197" s="422">
        <f t="shared" si="23"/>
        <v>2056</v>
      </c>
      <c r="D197" s="461">
        <f t="shared" si="24"/>
        <v>2120.77805134644</v>
      </c>
      <c r="E197" s="479">
        <f>+D197*'I. Parametros Grales'!E202*'I. Parametros Grales'!$C$160</f>
        <v>5263272.7195964</v>
      </c>
    </row>
    <row r="198" s="80" customFormat="1" ht="12.75" spans="2:5">
      <c r="B198" s="422">
        <v>33</v>
      </c>
      <c r="C198" s="422">
        <f t="shared" si="23"/>
        <v>2057</v>
      </c>
      <c r="D198" s="461">
        <f t="shared" si="24"/>
        <v>2120.77805134644</v>
      </c>
      <c r="E198" s="479">
        <f>+D198*'I. Parametros Grales'!E203*'I. Parametros Grales'!$C$160</f>
        <v>5381696.35578731</v>
      </c>
    </row>
    <row r="199" s="80" customFormat="1" ht="12.75" spans="2:5">
      <c r="B199" s="422">
        <v>34</v>
      </c>
      <c r="C199" s="422">
        <f t="shared" si="23"/>
        <v>2058</v>
      </c>
      <c r="D199" s="461">
        <f t="shared" si="24"/>
        <v>2120.77805134644</v>
      </c>
      <c r="E199" s="479">
        <f>+D199*'I. Parametros Grales'!E204*'I. Parametros Grales'!$C$160</f>
        <v>5502784.52379253</v>
      </c>
    </row>
    <row r="200" s="80" customFormat="1" ht="12.75" spans="2:5">
      <c r="B200" s="422">
        <v>35</v>
      </c>
      <c r="C200" s="422">
        <f t="shared" si="23"/>
        <v>2059</v>
      </c>
      <c r="D200" s="461">
        <f t="shared" si="24"/>
        <v>2120.77805134644</v>
      </c>
      <c r="E200" s="479">
        <f>+D200*'I. Parametros Grales'!E205*'I. Parametros Grales'!$C$160</f>
        <v>5626597.17557786</v>
      </c>
    </row>
    <row r="201" s="80" customFormat="1" ht="12.75" spans="2:5">
      <c r="B201" s="422">
        <v>36</v>
      </c>
      <c r="C201" s="422">
        <f t="shared" si="23"/>
        <v>2060</v>
      </c>
      <c r="D201" s="461">
        <f t="shared" si="24"/>
        <v>2120.77805134644</v>
      </c>
      <c r="E201" s="479">
        <f>+D201*'I. Parametros Grales'!E206*'I. Parametros Grales'!$C$160</f>
        <v>5753195.61202836</v>
      </c>
    </row>
    <row r="202" s="80" customFormat="1" ht="12.75" spans="2:5">
      <c r="B202" s="422">
        <v>37</v>
      </c>
      <c r="C202" s="422">
        <f t="shared" si="23"/>
        <v>2061</v>
      </c>
      <c r="D202" s="461">
        <f t="shared" si="24"/>
        <v>2120.77805134644</v>
      </c>
      <c r="E202" s="479">
        <f>+D202*'I. Parametros Grales'!E207*'I. Parametros Grales'!$C$160</f>
        <v>5882642.513299</v>
      </c>
    </row>
    <row r="203" s="80" customFormat="1" ht="12.75" spans="2:5">
      <c r="B203" s="422">
        <v>38</v>
      </c>
      <c r="C203" s="422">
        <f t="shared" si="23"/>
        <v>2062</v>
      </c>
      <c r="D203" s="461">
        <f t="shared" si="24"/>
        <v>2120.77805134644</v>
      </c>
      <c r="E203" s="479">
        <f>+D203*'I. Parametros Grales'!E208*'I. Parametros Grales'!$C$160</f>
        <v>6015001.96984823</v>
      </c>
    </row>
    <row r="204" s="80" customFormat="1" ht="12.75" spans="2:5">
      <c r="B204" s="422">
        <v>39</v>
      </c>
      <c r="C204" s="422">
        <f t="shared" si="23"/>
        <v>2063</v>
      </c>
      <c r="D204" s="461">
        <f t="shared" si="24"/>
        <v>2120.77805134644</v>
      </c>
      <c r="E204" s="479">
        <f>+D204*'I. Parametros Grales'!E209*'I. Parametros Grales'!$C$160</f>
        <v>6150339.51416981</v>
      </c>
    </row>
    <row r="205" s="80" customFormat="1" ht="13.2" customHeight="1" spans="2:5">
      <c r="B205" s="399" t="s">
        <v>789</v>
      </c>
      <c r="C205" s="399"/>
      <c r="D205" s="399"/>
      <c r="E205" s="399"/>
    </row>
    <row r="206" s="80" customFormat="1" ht="12.75"/>
    <row r="207" s="80" customFormat="1" ht="18.75" spans="2:16">
      <c r="B207" s="515" t="s">
        <v>845</v>
      </c>
      <c r="C207" s="515"/>
      <c r="D207" s="515"/>
      <c r="E207" s="515"/>
      <c r="F207" s="515"/>
      <c r="G207" s="515"/>
      <c r="H207" s="515"/>
      <c r="I207" s="515"/>
      <c r="J207" s="515"/>
      <c r="K207" s="515"/>
      <c r="L207" s="515"/>
      <c r="M207" s="515"/>
      <c r="N207" s="515"/>
      <c r="O207" s="515"/>
      <c r="P207" s="515"/>
    </row>
    <row r="208" s="80" customFormat="1" ht="18.75" spans="2:16">
      <c r="B208" s="516"/>
      <c r="C208" s="516"/>
      <c r="D208" s="516"/>
      <c r="E208" s="516"/>
      <c r="F208" s="516"/>
      <c r="G208" s="516"/>
      <c r="H208" s="516"/>
      <c r="I208" s="516"/>
      <c r="J208" s="516"/>
      <c r="K208" s="516"/>
      <c r="L208" s="516"/>
      <c r="M208" s="516"/>
      <c r="N208" s="516"/>
      <c r="O208" s="516"/>
      <c r="P208" s="516"/>
    </row>
    <row r="209" s="80" customFormat="1" ht="12.75" spans="2:2">
      <c r="B209" s="399" t="s">
        <v>846</v>
      </c>
    </row>
    <row r="210" s="80" customFormat="1" ht="12.75"/>
    <row r="211" s="80" customFormat="1" ht="12.75"/>
    <row r="212" s="80" customFormat="1" ht="51" spans="2:8">
      <c r="B212" s="517" t="s">
        <v>254</v>
      </c>
      <c r="C212" s="517" t="s">
        <v>200</v>
      </c>
      <c r="D212" s="517" t="s">
        <v>847</v>
      </c>
      <c r="E212" s="517" t="s">
        <v>848</v>
      </c>
      <c r="F212" s="517" t="s">
        <v>849</v>
      </c>
      <c r="G212" s="517" t="s">
        <v>850</v>
      </c>
      <c r="H212" s="517" t="s">
        <v>851</v>
      </c>
    </row>
    <row r="213" s="80" customFormat="1" ht="12.75" spans="2:8">
      <c r="B213" s="517"/>
      <c r="C213" s="517"/>
      <c r="D213" s="517" t="s">
        <v>852</v>
      </c>
      <c r="E213" s="517" t="s">
        <v>852</v>
      </c>
      <c r="F213" s="517" t="s">
        <v>852</v>
      </c>
      <c r="G213" s="517" t="s">
        <v>852</v>
      </c>
      <c r="H213" s="517" t="s">
        <v>853</v>
      </c>
    </row>
    <row r="214" s="80" customFormat="1" ht="12.75" spans="2:8">
      <c r="B214" s="517"/>
      <c r="C214" s="517"/>
      <c r="D214" s="517" t="s">
        <v>854</v>
      </c>
      <c r="E214" s="517" t="s">
        <v>855</v>
      </c>
      <c r="F214" s="517" t="s">
        <v>856</v>
      </c>
      <c r="G214" s="517" t="s">
        <v>857</v>
      </c>
      <c r="H214" s="517" t="s">
        <v>858</v>
      </c>
    </row>
    <row r="215" s="80" customFormat="1" ht="13.5" spans="2:8">
      <c r="B215" s="518">
        <v>0</v>
      </c>
      <c r="C215" s="519">
        <v>2024</v>
      </c>
      <c r="D215" s="520">
        <v>142.599532058203</v>
      </c>
      <c r="E215" s="520">
        <v>0</v>
      </c>
      <c r="F215" s="520">
        <v>0</v>
      </c>
      <c r="G215" s="521">
        <v>0</v>
      </c>
      <c r="H215" s="521"/>
    </row>
    <row r="216" s="80" customFormat="1" ht="13.5" spans="2:8">
      <c r="B216" s="518">
        <v>1</v>
      </c>
      <c r="C216" s="519">
        <v>2025</v>
      </c>
      <c r="D216" s="520">
        <v>469.392974238095</v>
      </c>
      <c r="E216" s="520">
        <v>0</v>
      </c>
      <c r="F216" s="520">
        <v>0</v>
      </c>
      <c r="G216" s="521">
        <v>0</v>
      </c>
      <c r="H216" s="521"/>
    </row>
    <row r="217" s="80" customFormat="1" ht="13.5" spans="2:8">
      <c r="B217" s="518">
        <v>2</v>
      </c>
      <c r="C217" s="519">
        <v>2026</v>
      </c>
      <c r="D217" s="520">
        <v>773.471854245455</v>
      </c>
      <c r="E217" s="520">
        <v>116.829046349056</v>
      </c>
      <c r="F217" s="520">
        <v>656.642807896399</v>
      </c>
      <c r="G217" s="521">
        <v>18385.9986210992</v>
      </c>
      <c r="H217" s="522">
        <f>+G217*'I. Parametros Grales'!E172*'I. Parametros Grales'!$C$160</f>
        <v>24123901.0707718</v>
      </c>
    </row>
    <row r="218" s="80" customFormat="1" ht="13.5" spans="2:8">
      <c r="B218" s="518">
        <v>3</v>
      </c>
      <c r="C218" s="519">
        <v>2027</v>
      </c>
      <c r="D218" s="520">
        <v>1056.80689206383</v>
      </c>
      <c r="E218" s="520">
        <v>192.89604465424</v>
      </c>
      <c r="F218" s="520">
        <v>863.910847409592</v>
      </c>
      <c r="G218" s="521">
        <v>24189.5037274686</v>
      </c>
      <c r="H218" s="522">
        <f>+G218*'I. Parametros Grales'!E173*'I. Parametros Grales'!$C$160</f>
        <v>32219451.384839</v>
      </c>
    </row>
    <row r="219" s="80" customFormat="1" ht="13.5" spans="2:8">
      <c r="B219" s="518">
        <v>4</v>
      </c>
      <c r="C219" s="519">
        <v>2028</v>
      </c>
      <c r="D219" s="520">
        <v>1321.17986732933</v>
      </c>
      <c r="E219" s="520">
        <v>264.004038781131</v>
      </c>
      <c r="F219" s="520">
        <v>1057.1758285482</v>
      </c>
      <c r="G219" s="521">
        <v>29600.9231993496</v>
      </c>
      <c r="H219" s="522">
        <f>+G219*'I. Parametros Grales'!E174*'I. Parametros Grales'!$C$160</f>
        <v>40015712.0178088</v>
      </c>
    </row>
    <row r="220" s="80" customFormat="1" ht="13.5" spans="2:8">
      <c r="B220" s="518">
        <v>5</v>
      </c>
      <c r="C220" s="519">
        <v>2029</v>
      </c>
      <c r="D220" s="520">
        <v>1568.2015937788</v>
      </c>
      <c r="E220" s="520">
        <v>330.558016398707</v>
      </c>
      <c r="F220" s="520">
        <v>1237.64357738009</v>
      </c>
      <c r="G220" s="521">
        <v>34654.0201666426</v>
      </c>
      <c r="H220" s="522">
        <f>+G220*'I. Parametros Grales'!E175*'I. Parametros Grales'!$C$160</f>
        <v>47535612.542987</v>
      </c>
    </row>
    <row r="221" s="80" customFormat="1" ht="13.5" spans="2:8">
      <c r="B221" s="518">
        <v>6</v>
      </c>
      <c r="C221" s="519">
        <v>2030</v>
      </c>
      <c r="D221" s="520">
        <v>1799.32819193925</v>
      </c>
      <c r="E221" s="520">
        <v>392.933239657185</v>
      </c>
      <c r="F221" s="520">
        <v>1406.39495228207</v>
      </c>
      <c r="G221" s="521">
        <v>39379.0586638978</v>
      </c>
      <c r="H221" s="522">
        <f>+G221*'I. Parametros Grales'!E176*'I. Parametros Grales'!$C$160</f>
        <v>54799898.0366802</v>
      </c>
    </row>
    <row r="222" s="80" customFormat="1" ht="13.5" spans="2:8">
      <c r="B222" s="518">
        <v>7</v>
      </c>
      <c r="C222" s="519">
        <v>2031</v>
      </c>
      <c r="D222" s="520">
        <v>2015.8855225515</v>
      </c>
      <c r="E222" s="520">
        <v>451.477436701046</v>
      </c>
      <c r="F222" s="520">
        <v>1564.40808585045</v>
      </c>
      <c r="G222" s="521">
        <v>43803.4264038126</v>
      </c>
      <c r="H222" s="522">
        <f>+G222*'I. Parametros Grales'!E177*'I. Parametros Grales'!$C$160</f>
        <v>62328377.2676753</v>
      </c>
    </row>
    <row r="223" s="80" customFormat="1" ht="13.5" spans="2:8">
      <c r="B223" s="518">
        <v>8</v>
      </c>
      <c r="C223" s="519">
        <v>2032</v>
      </c>
      <c r="D223" s="520">
        <v>2219.0694965809</v>
      </c>
      <c r="E223" s="520">
        <v>506.512263335551</v>
      </c>
      <c r="F223" s="520">
        <v>1712.55723324535</v>
      </c>
      <c r="G223" s="521">
        <v>47951.6025308699</v>
      </c>
      <c r="H223" s="522">
        <f>+G223*'I. Parametros Grales'!E178*'I. Parametros Grales'!$C$160</f>
        <v>69766057.1197507</v>
      </c>
    </row>
    <row r="224" s="80" customFormat="1" ht="13.5" spans="2:8">
      <c r="B224" s="518">
        <v>9</v>
      </c>
      <c r="C224" s="519">
        <v>2033</v>
      </c>
      <c r="D224" s="520">
        <v>2409.9610938799</v>
      </c>
      <c r="E224" s="520">
        <v>558.335336251147</v>
      </c>
      <c r="F224" s="520">
        <v>1851.62575762876</v>
      </c>
      <c r="G224" s="521">
        <v>51845.5212136052</v>
      </c>
      <c r="H224" s="522">
        <f>+G224*'I. Parametros Grales'!E179*'I. Parametros Grales'!$C$160</f>
        <v>77128629.5986559</v>
      </c>
    </row>
    <row r="225" s="80" customFormat="1" ht="13.5" spans="2:8">
      <c r="B225" s="518">
        <v>10</v>
      </c>
      <c r="C225" s="519">
        <v>2034</v>
      </c>
      <c r="D225" s="520">
        <v>2589.53732164024</v>
      </c>
      <c r="E225" s="520">
        <v>607.222217173484</v>
      </c>
      <c r="F225" s="520">
        <v>1982.31510446676</v>
      </c>
      <c r="G225" s="521">
        <v>55504.8229250693</v>
      </c>
      <c r="H225" s="522">
        <f>+G225*'I. Parametros Grales'!E180*'I. Parametros Grales'!$C$160</f>
        <v>84430314.745593</v>
      </c>
    </row>
    <row r="226" s="80" customFormat="1" ht="13.5" spans="2:8">
      <c r="B226" s="518">
        <v>11</v>
      </c>
      <c r="C226" s="519">
        <v>2035</v>
      </c>
      <c r="D226" s="520">
        <v>2758.68113691635</v>
      </c>
      <c r="E226" s="520">
        <v>653.423162933512</v>
      </c>
      <c r="F226" s="520">
        <v>2105.25797398284</v>
      </c>
      <c r="G226" s="521">
        <v>58947.2232715194</v>
      </c>
      <c r="H226" s="522">
        <f>+G226*'I. Parametros Grales'!E181*'I. Parametros Grales'!$C$160</f>
        <v>91684169.5879732</v>
      </c>
    </row>
    <row r="227" s="80" customFormat="1" ht="13.5" spans="2:8">
      <c r="B227" s="518">
        <v>12</v>
      </c>
      <c r="C227" s="519">
        <v>2036</v>
      </c>
      <c r="D227" s="520">
        <v>2918.19043155522</v>
      </c>
      <c r="E227" s="520">
        <v>697.165712102588</v>
      </c>
      <c r="F227" s="520">
        <v>2221.02471945264</v>
      </c>
      <c r="G227" s="521">
        <v>62188.6921446738</v>
      </c>
      <c r="H227" s="522">
        <f>+G227*'I. Parametros Grales'!E182*'I. Parametros Grales'!$C$160</f>
        <v>98902152.500487</v>
      </c>
    </row>
    <row r="228" s="80" customFormat="1" ht="13.5" spans="2:8">
      <c r="B228" s="518">
        <v>13</v>
      </c>
      <c r="C228" s="519">
        <v>2037</v>
      </c>
      <c r="D228" s="520">
        <v>3068.78616850831</v>
      </c>
      <c r="E228" s="520">
        <v>738.651613467724</v>
      </c>
      <c r="F228" s="520">
        <v>2330.13455504059</v>
      </c>
      <c r="G228" s="521">
        <v>65243.7675411364</v>
      </c>
      <c r="H228" s="522">
        <f>+G228*'I. Parametros Grales'!E183*'I. Parametros Grales'!$C$160</f>
        <v>106095427.851569</v>
      </c>
    </row>
    <row r="229" s="80" customFormat="1" ht="13.5" spans="2:8">
      <c r="B229" s="518">
        <v>14</v>
      </c>
      <c r="C229" s="519">
        <v>2038</v>
      </c>
      <c r="D229" s="520">
        <v>3211.11975003137</v>
      </c>
      <c r="E229" s="520">
        <v>778.055260262102</v>
      </c>
      <c r="F229" s="520">
        <v>2433.06448976927</v>
      </c>
      <c r="G229" s="521">
        <v>68125.8057135396</v>
      </c>
      <c r="H229" s="522">
        <f>+G229*'I. Parametros Grales'!E184*'I. Parametros Grales'!$C$160</f>
        <v>113274617.711364</v>
      </c>
    </row>
    <row r="230" s="80" customFormat="1" ht="13.5" spans="2:8">
      <c r="B230" s="518">
        <v>15</v>
      </c>
      <c r="C230" s="519">
        <v>2039</v>
      </c>
      <c r="D230" s="520">
        <v>3345.77969061506</v>
      </c>
      <c r="E230" s="520">
        <v>815.524816769054</v>
      </c>
      <c r="F230" s="520">
        <v>2530.254873846</v>
      </c>
      <c r="G230" s="521">
        <v>70847.136467688</v>
      </c>
      <c r="H230" s="522">
        <f>+G230*'I. Parametros Grales'!E185*'I. Parametros Grales'!$C$160</f>
        <v>120449935.455605</v>
      </c>
    </row>
    <row r="231" s="80" customFormat="1" ht="13.5" spans="2:8">
      <c r="B231" s="518">
        <v>16</v>
      </c>
      <c r="C231" s="519">
        <v>2040</v>
      </c>
      <c r="D231" s="520">
        <v>3473.29766055466</v>
      </c>
      <c r="E231" s="520">
        <v>851.185259475853</v>
      </c>
      <c r="F231" s="520">
        <v>2622.1124010788</v>
      </c>
      <c r="G231" s="521">
        <v>73419.1472302065</v>
      </c>
      <c r="H231" s="522">
        <f>+G231*'I. Parametros Grales'!E186*'I. Parametros Grales'!$C$160</f>
        <v>127631220.620643</v>
      </c>
    </row>
    <row r="232" s="80" customFormat="1" ht="13.5" spans="2:8">
      <c r="B232" s="518">
        <v>17</v>
      </c>
      <c r="C232" s="519">
        <v>2041</v>
      </c>
      <c r="D232" s="520">
        <v>3594.17417967806</v>
      </c>
      <c r="E232" s="520">
        <v>885.142141199583</v>
      </c>
      <c r="F232" s="520">
        <v>2709.03203847847</v>
      </c>
      <c r="G232" s="521">
        <v>75852.8970773972</v>
      </c>
      <c r="H232" s="522">
        <f>+G232*'I. Parametros Grales'!E187*'I. Parametros Grales'!$C$160</f>
        <v>134828926.328955</v>
      </c>
    </row>
    <row r="233" s="80" customFormat="1" ht="13.5" spans="2:8">
      <c r="B233" s="518">
        <v>18</v>
      </c>
      <c r="C233" s="519">
        <v>2042</v>
      </c>
      <c r="D233" s="520">
        <v>3708.85622707649</v>
      </c>
      <c r="E233" s="520">
        <v>917.490160817451</v>
      </c>
      <c r="F233" s="520">
        <v>2791.36606625904</v>
      </c>
      <c r="G233" s="521">
        <v>78158.2498552531</v>
      </c>
      <c r="H233" s="522">
        <f>+G233*'I. Parametros Grales'!E188*'I. Parametros Grales'!$C$160</f>
        <v>142052553.922279</v>
      </c>
    </row>
    <row r="234" s="80" customFormat="1" ht="13.5" spans="2:8">
      <c r="B234" s="518">
        <v>19</v>
      </c>
      <c r="C234" s="519">
        <v>2043</v>
      </c>
      <c r="D234" s="520">
        <v>3817.74793247183</v>
      </c>
      <c r="E234" s="520">
        <v>948.315316131149</v>
      </c>
      <c r="F234" s="520">
        <v>2869.43261634068</v>
      </c>
      <c r="G234" s="521">
        <v>80344.113257539</v>
      </c>
      <c r="H234" s="522">
        <f>+G234*'I. Parametros Grales'!E189*'I. Parametros Grales'!$C$160</f>
        <v>149310929.406502</v>
      </c>
    </row>
    <row r="235" s="80" customFormat="1" ht="13.5" spans="2:8">
      <c r="B235" s="518">
        <v>20</v>
      </c>
      <c r="C235" s="519">
        <v>2044</v>
      </c>
      <c r="D235" s="520">
        <v>3921.21470222848</v>
      </c>
      <c r="E235" s="520">
        <v>977.701113975216</v>
      </c>
      <c r="F235" s="520">
        <v>2943.51358825326</v>
      </c>
      <c r="G235" s="521">
        <v>82418.3804710913</v>
      </c>
      <c r="H235" s="522">
        <f>+G235*'I. Parametros Grales'!E190*'I. Parametros Grales'!$C$160</f>
        <v>156611961.852398</v>
      </c>
    </row>
    <row r="236" s="80" customFormat="1" ht="13.5" spans="2:8">
      <c r="B236" s="518">
        <v>21</v>
      </c>
      <c r="C236" s="519">
        <v>2045</v>
      </c>
      <c r="D236" s="520">
        <v>4019.58695653723</v>
      </c>
      <c r="E236" s="520">
        <v>1005.72652121318</v>
      </c>
      <c r="F236" s="520">
        <v>3013.86043532405</v>
      </c>
      <c r="G236" s="521">
        <v>84388.0921890734</v>
      </c>
      <c r="H236" s="522">
        <f>+G236*'I. Parametros Grales'!E191*'I. Parametros Grales'!$C$160</f>
        <v>163962804.809454</v>
      </c>
    </row>
    <row r="237" s="80" customFormat="1" ht="13.5" spans="2:8">
      <c r="B237" s="518">
        <v>22</v>
      </c>
      <c r="C237" s="519">
        <v>2046</v>
      </c>
      <c r="D237" s="520">
        <v>4113.30637492431</v>
      </c>
      <c r="E237" s="520">
        <v>1032.46937294826</v>
      </c>
      <c r="F237" s="520">
        <v>3080.83700197605</v>
      </c>
      <c r="G237" s="521">
        <v>86263.4360553295</v>
      </c>
      <c r="H237" s="522">
        <f>+G237*'I. Parametros Grales'!E192*'I. Parametros Grales'!$C$160</f>
        <v>171377672.357053</v>
      </c>
    </row>
    <row r="238" s="80" customFormat="1" ht="13.5" spans="2:8">
      <c r="B238" s="518">
        <v>23</v>
      </c>
      <c r="C238" s="519">
        <v>2047</v>
      </c>
      <c r="D238" s="520">
        <v>4202.73522874404</v>
      </c>
      <c r="E238" s="520">
        <v>1058.00568499999</v>
      </c>
      <c r="F238" s="520">
        <v>3144.72954374404</v>
      </c>
      <c r="G238" s="521">
        <v>88052.4272248332</v>
      </c>
      <c r="H238" s="522">
        <f>+G238*'I. Parametros Grales'!E193*'I. Parametros Grales'!$C$160</f>
        <v>178867787.782133</v>
      </c>
    </row>
    <row r="239" s="80" customFormat="1" ht="13.5" spans="2:8">
      <c r="B239" s="518">
        <v>24</v>
      </c>
      <c r="C239" s="519">
        <v>2048</v>
      </c>
      <c r="D239" s="520">
        <v>4288.2032827642</v>
      </c>
      <c r="E239" s="520">
        <v>1082.40922019994</v>
      </c>
      <c r="F239" s="520">
        <v>3205.79406256426</v>
      </c>
      <c r="G239" s="521">
        <v>89762.2337517993</v>
      </c>
      <c r="H239" s="522">
        <f>+G239*'I. Parametros Grales'!E194*'I. Parametros Grales'!$C$160</f>
        <v>186443725.277937</v>
      </c>
    </row>
    <row r="240" s="80" customFormat="1" ht="13.5" spans="2:8">
      <c r="B240" s="518">
        <v>25</v>
      </c>
      <c r="C240" s="519">
        <v>2049</v>
      </c>
      <c r="D240" s="520">
        <v>4370.01083178558</v>
      </c>
      <c r="E240" s="520">
        <v>1105.74984350662</v>
      </c>
      <c r="F240" s="520">
        <v>3264.26098827897</v>
      </c>
      <c r="G240" s="521">
        <v>91399.3076718111</v>
      </c>
      <c r="H240" s="522">
        <f>+G240*'I. Parametros Grales'!E195*'I. Parametros Grales'!$C$160</f>
        <v>194115557.273952</v>
      </c>
    </row>
    <row r="241" s="80" customFormat="1" ht="13.5" spans="2:8">
      <c r="B241" s="518">
        <v>26</v>
      </c>
      <c r="C241" s="519">
        <v>2050</v>
      </c>
      <c r="D241" s="520">
        <v>4448.43145029176</v>
      </c>
      <c r="E241" s="520">
        <v>1128.09265301257</v>
      </c>
      <c r="F241" s="520">
        <v>3320.33879727918</v>
      </c>
      <c r="G241" s="521">
        <v>92969.4863238172</v>
      </c>
      <c r="H241" s="522">
        <f>+G241*'I. Parametros Grales'!E196*'I. Parametros Grales'!$C$160</f>
        <v>201892964.501901</v>
      </c>
    </row>
    <row r="242" s="80" customFormat="1" ht="13.5" spans="2:8">
      <c r="B242" s="518">
        <v>27</v>
      </c>
      <c r="C242" s="519">
        <v>2051</v>
      </c>
      <c r="D242" s="520">
        <v>4523.71448235548</v>
      </c>
      <c r="E242" s="520">
        <v>1149.49554510852</v>
      </c>
      <c r="F242" s="520">
        <v>3374.21893724696</v>
      </c>
      <c r="G242" s="521">
        <v>94478.1302429149</v>
      </c>
      <c r="H242" s="522">
        <f>+G242*'I. Parametros Grales'!E197*'I. Parametros Grales'!$C$160</f>
        <v>209785448.29001</v>
      </c>
    </row>
    <row r="243" s="80" customFormat="1" ht="13.5" spans="2:8">
      <c r="B243" s="518">
        <v>28</v>
      </c>
      <c r="C243" s="519">
        <v>2052</v>
      </c>
      <c r="D243" s="520">
        <v>4596.08729644065</v>
      </c>
      <c r="E243" s="520">
        <v>1170.0089483636</v>
      </c>
      <c r="F243" s="520">
        <v>3426.07834807706</v>
      </c>
      <c r="G243" s="521">
        <v>95930.1937461576</v>
      </c>
      <c r="H243" s="522">
        <f>+G243*'I. Parametros Grales'!E198*'I. Parametros Grales'!$C$160</f>
        <v>217802423.877551</v>
      </c>
    </row>
    <row r="244" s="80" customFormat="1" ht="13.5" spans="2:8">
      <c r="B244" s="518">
        <v>29</v>
      </c>
      <c r="C244" s="519">
        <v>2053</v>
      </c>
      <c r="D244" s="520">
        <v>4665.75732739763</v>
      </c>
      <c r="E244" s="520">
        <v>1189.67311788222</v>
      </c>
      <c r="F244" s="520">
        <v>3476.08420951541</v>
      </c>
      <c r="G244" s="521">
        <v>97330.3578664316</v>
      </c>
      <c r="H244" s="522">
        <f>+G244*'I. Parametros Grales'!E199*'I. Parametros Grales'!$C$160</f>
        <v>225953474.506566</v>
      </c>
    </row>
    <row r="245" s="80" customFormat="1" ht="13.5" spans="2:8">
      <c r="B245" s="518">
        <v>30</v>
      </c>
      <c r="C245" s="519">
        <v>2054</v>
      </c>
      <c r="D245" s="520">
        <v>4732.91392583134</v>
      </c>
      <c r="E245" s="520">
        <v>1208.51829312902</v>
      </c>
      <c r="F245" s="520">
        <v>3524.39563270232</v>
      </c>
      <c r="G245" s="521">
        <v>98683.0777156649</v>
      </c>
      <c r="H245" s="522">
        <f>+G245*'I. Parametros Grales'!E200*'I. Parametros Grales'!$C$160</f>
        <v>234248439.346677</v>
      </c>
    </row>
    <row r="246" s="80" customFormat="1" ht="13.5" spans="2:8">
      <c r="B246" s="518">
        <v>31</v>
      </c>
      <c r="C246" s="519">
        <v>2055</v>
      </c>
      <c r="D246" s="520">
        <v>4797.73003310428</v>
      </c>
      <c r="E246" s="520">
        <v>1226.56679610335</v>
      </c>
      <c r="F246" s="520">
        <v>3571.16323700093</v>
      </c>
      <c r="G246" s="521">
        <v>99992.5706360261</v>
      </c>
      <c r="H246" s="522">
        <f>+G246*'I. Parametros Grales'!E201*'I. Parametros Grales'!$C$160</f>
        <v>242697370.243744</v>
      </c>
    </row>
    <row r="247" s="80" customFormat="1" ht="13.5" spans="2:8">
      <c r="B247" s="518">
        <v>32</v>
      </c>
      <c r="C247" s="519">
        <v>2056</v>
      </c>
      <c r="D247" s="520">
        <v>4860.36369850196</v>
      </c>
      <c r="E247" s="520">
        <v>1243.83650345187</v>
      </c>
      <c r="F247" s="520">
        <v>3616.52719505009</v>
      </c>
      <c r="G247" s="521">
        <v>101262.761461403</v>
      </c>
      <c r="H247" s="522">
        <f>+G247*'I. Parametros Grales'!E202*'I. Parametros Grales'!$C$160</f>
        <v>251310376.195389</v>
      </c>
    </row>
    <row r="248" s="80" customFormat="1" ht="13.5" spans="2:8">
      <c r="B248" s="518">
        <v>33</v>
      </c>
      <c r="C248" s="519">
        <v>2057</v>
      </c>
      <c r="D248" s="520">
        <v>4920.95945351828</v>
      </c>
      <c r="E248" s="520">
        <v>1260.34222179476</v>
      </c>
      <c r="F248" s="520">
        <v>3660.61723172352</v>
      </c>
      <c r="G248" s="521">
        <v>102497.282488258</v>
      </c>
      <c r="H248" s="522">
        <f>+G248*'I. Parametros Grales'!E203*'I. Parametros Grales'!$C$160</f>
        <v>260097586.022714</v>
      </c>
    </row>
    <row r="249" s="80" customFormat="1" ht="13.5" spans="2:8">
      <c r="B249" s="518">
        <v>34</v>
      </c>
      <c r="C249" s="519">
        <v>2058</v>
      </c>
      <c r="D249" s="520">
        <v>4979.64955679772</v>
      </c>
      <c r="E249" s="520">
        <v>1276.09909329587</v>
      </c>
      <c r="F249" s="520">
        <v>3703.55046350185</v>
      </c>
      <c r="G249" s="521">
        <v>103699.412978052</v>
      </c>
      <c r="H249" s="522">
        <f>+G249*'I. Parametros Grales'!E204*'I. Parametros Grales'!$C$160</f>
        <v>269068950.661626</v>
      </c>
    </row>
    <row r="250" s="80" customFormat="1" ht="13.5" spans="2:8">
      <c r="B250" s="518">
        <v>35</v>
      </c>
      <c r="C250" s="519">
        <v>2059</v>
      </c>
      <c r="D250" s="520">
        <v>5036.55512198596</v>
      </c>
      <c r="E250" s="520">
        <v>1291.12395844342</v>
      </c>
      <c r="F250" s="520">
        <v>3745.43116354254</v>
      </c>
      <c r="G250" s="521">
        <v>104872.072579191</v>
      </c>
      <c r="H250" s="522">
        <f>+G250*'I. Parametros Grales'!E205*'I. Parametros Grales'!$C$160</f>
        <v>278234163.634638</v>
      </c>
    </row>
    <row r="251" s="80" customFormat="1" ht="13.5" spans="2:8">
      <c r="B251" s="518">
        <v>36</v>
      </c>
      <c r="C251" s="519">
        <v>2060</v>
      </c>
      <c r="D251" s="520">
        <v>5091.78713957671</v>
      </c>
      <c r="E251" s="520">
        <v>1305.43636577862</v>
      </c>
      <c r="F251" s="520">
        <v>3786.35077379809</v>
      </c>
      <c r="G251" s="521">
        <v>106017.821666346</v>
      </c>
      <c r="H251" s="522">
        <f>+G251*'I. Parametros Grales'!E206*'I. Parametros Grales'!$C$160</f>
        <v>287602592.841053</v>
      </c>
    </row>
    <row r="252" s="80" customFormat="1" ht="13.5" spans="2:8">
      <c r="B252" s="518">
        <v>37</v>
      </c>
      <c r="C252" s="519">
        <v>2061</v>
      </c>
      <c r="D252" s="520">
        <v>5145.44740279032</v>
      </c>
      <c r="E252" s="520">
        <v>1319.05711687127</v>
      </c>
      <c r="F252" s="520">
        <v>3826.39028591905</v>
      </c>
      <c r="G252" s="521">
        <v>107138.928005734</v>
      </c>
      <c r="H252" s="522">
        <f>+G252*'I. Parametros Grales'!E207*'I. Parametros Grales'!$C$160</f>
        <v>297183390.933186</v>
      </c>
    </row>
    <row r="253" s="80" customFormat="1" ht="13.5" spans="2:8">
      <c r="B253" s="518">
        <v>38</v>
      </c>
      <c r="C253" s="519">
        <v>2062</v>
      </c>
      <c r="D253" s="520">
        <v>5197.62934656662</v>
      </c>
      <c r="E253" s="520">
        <v>1332.00931324548</v>
      </c>
      <c r="F253" s="520">
        <v>3865.62003332114</v>
      </c>
      <c r="G253" s="521">
        <v>108237.360932992</v>
      </c>
      <c r="H253" s="522">
        <f>+G253*'I. Parametros Grales'!E208*'I. Parametros Grales'!$C$160</f>
        <v>306985419.247329</v>
      </c>
    </row>
    <row r="254" s="80" customFormat="1" ht="13.5" spans="2:8">
      <c r="B254" s="518">
        <v>39</v>
      </c>
      <c r="C254" s="519">
        <v>2063</v>
      </c>
      <c r="D254" s="520">
        <v>5248.41880789258</v>
      </c>
      <c r="E254" s="520">
        <v>1344.31847854202</v>
      </c>
      <c r="F254" s="520">
        <v>3904.10032935056</v>
      </c>
      <c r="G254" s="521">
        <v>109314.809221816</v>
      </c>
      <c r="H254" s="522">
        <f>+G254*'I. Parametros Grales'!E209*'I. Parametros Grales'!$C$160</f>
        <v>317017233.469586</v>
      </c>
    </row>
    <row r="255" s="80" customFormat="1" ht="13.5" spans="2:8">
      <c r="B255" s="523" t="s">
        <v>859</v>
      </c>
      <c r="C255" s="524"/>
      <c r="D255" s="525">
        <v>139422.569937748</v>
      </c>
      <c r="E255" s="525">
        <v>34412.3612443264</v>
      </c>
      <c r="F255" s="525">
        <v>104398.216187125</v>
      </c>
      <c r="G255" s="525">
        <v>2923150.05323951</v>
      </c>
      <c r="H255" s="526">
        <f t="shared" ref="H255" si="25">SUM(H217:H254)</f>
        <v>6227837230.29504</v>
      </c>
    </row>
    <row r="256" s="80" customFormat="1" ht="12.75" spans="3:3">
      <c r="C256" s="80" t="s">
        <v>860</v>
      </c>
    </row>
    <row r="257" s="80" customFormat="1" ht="12.75" spans="2:11">
      <c r="B257" s="383"/>
      <c r="C257" s="383"/>
      <c r="D257" s="383"/>
      <c r="E257" s="383"/>
      <c r="F257" s="383"/>
      <c r="G257" s="383"/>
      <c r="H257" s="383"/>
      <c r="I257" s="383"/>
      <c r="J257" s="383"/>
      <c r="K257" s="383"/>
    </row>
    <row r="258" s="80" customFormat="1" ht="12.75" spans="2:11">
      <c r="B258" s="383"/>
      <c r="C258" s="383"/>
      <c r="D258" s="383"/>
      <c r="E258" s="383"/>
      <c r="F258" s="383"/>
      <c r="G258" s="383"/>
      <c r="H258" s="383"/>
      <c r="I258" s="383"/>
      <c r="J258" s="383"/>
      <c r="K258" s="383"/>
    </row>
    <row r="259" s="80" customFormat="1" ht="12.75" spans="2:11">
      <c r="B259" s="383"/>
      <c r="C259" s="383"/>
      <c r="D259" s="383"/>
      <c r="E259" s="383"/>
      <c r="F259" s="383"/>
      <c r="G259" s="383"/>
      <c r="H259" s="383"/>
      <c r="I259" s="383"/>
      <c r="J259" s="383"/>
      <c r="K259" s="383"/>
    </row>
    <row r="260" s="80" customFormat="1" ht="12.75" spans="2:11">
      <c r="B260" s="383"/>
      <c r="C260" s="383"/>
      <c r="D260" s="383"/>
      <c r="E260" s="383"/>
      <c r="F260" s="383"/>
      <c r="G260" s="383"/>
      <c r="H260" s="383"/>
      <c r="I260" s="383"/>
      <c r="J260" s="383"/>
      <c r="K260" s="383"/>
    </row>
    <row r="261" s="80" customFormat="1" ht="12.75" spans="2:11">
      <c r="B261" s="383"/>
      <c r="C261" s="383"/>
      <c r="D261" s="383"/>
      <c r="E261" s="383"/>
      <c r="F261" s="383"/>
      <c r="G261" s="383"/>
      <c r="H261" s="383"/>
      <c r="I261" s="383"/>
      <c r="J261" s="383"/>
      <c r="K261" s="383"/>
    </row>
    <row r="262" s="80" customFormat="1" ht="12.75" spans="2:11">
      <c r="B262" s="383"/>
      <c r="C262" s="383"/>
      <c r="D262" s="383"/>
      <c r="E262" s="383"/>
      <c r="F262" s="383"/>
      <c r="G262" s="383"/>
      <c r="H262" s="383"/>
      <c r="I262" s="383"/>
      <c r="J262" s="383"/>
      <c r="K262" s="383"/>
    </row>
    <row r="263" s="80" customFormat="1" ht="12.75" spans="2:11">
      <c r="B263" s="383"/>
      <c r="C263" s="383"/>
      <c r="D263" s="383"/>
      <c r="E263" s="383"/>
      <c r="F263" s="383"/>
      <c r="G263" s="383"/>
      <c r="H263" s="383"/>
      <c r="I263" s="383"/>
      <c r="J263" s="383"/>
      <c r="K263" s="383"/>
    </row>
    <row r="264" s="80" customFormat="1" ht="12.75" spans="2:11">
      <c r="B264" s="383"/>
      <c r="C264" s="383"/>
      <c r="D264" s="383"/>
      <c r="E264" s="383"/>
      <c r="F264" s="383"/>
      <c r="G264" s="383"/>
      <c r="H264" s="383"/>
      <c r="I264" s="383"/>
      <c r="J264" s="383"/>
      <c r="K264" s="383"/>
    </row>
    <row r="265" s="80" customFormat="1" ht="12.75" spans="2:11">
      <c r="B265" s="383"/>
      <c r="C265" s="383"/>
      <c r="D265" s="383"/>
      <c r="E265" s="383"/>
      <c r="F265" s="383"/>
      <c r="G265" s="383"/>
      <c r="H265" s="383"/>
      <c r="I265" s="383"/>
      <c r="J265" s="383"/>
      <c r="K265" s="383"/>
    </row>
    <row r="266" s="80" customFormat="1" ht="12.75" spans="2:11">
      <c r="B266" s="383"/>
      <c r="C266" s="383"/>
      <c r="D266" s="383"/>
      <c r="E266" s="383"/>
      <c r="F266" s="383"/>
      <c r="G266" s="383"/>
      <c r="H266" s="383"/>
      <c r="I266" s="383"/>
      <c r="J266" s="383"/>
      <c r="K266" s="383"/>
    </row>
    <row r="267" s="80" customFormat="1" ht="12.75" spans="2:11">
      <c r="B267" s="383"/>
      <c r="C267" s="383"/>
      <c r="D267" s="383"/>
      <c r="E267" s="383"/>
      <c r="F267" s="383"/>
      <c r="G267" s="383"/>
      <c r="H267" s="383"/>
      <c r="I267" s="383"/>
      <c r="J267" s="383"/>
      <c r="K267" s="383"/>
    </row>
    <row r="268" s="80" customFormat="1" ht="12.75" spans="2:11">
      <c r="B268" s="383"/>
      <c r="C268" s="383"/>
      <c r="D268" s="383"/>
      <c r="E268" s="383"/>
      <c r="F268" s="383"/>
      <c r="G268" s="383"/>
      <c r="H268" s="383"/>
      <c r="I268" s="383"/>
      <c r="J268" s="383"/>
      <c r="K268" s="383"/>
    </row>
    <row r="269" s="80" customFormat="1" ht="12.75" spans="2:11">
      <c r="B269" s="383"/>
      <c r="C269" s="383"/>
      <c r="D269" s="383"/>
      <c r="E269" s="383"/>
      <c r="F269" s="383"/>
      <c r="G269" s="383"/>
      <c r="H269" s="383"/>
      <c r="I269" s="383"/>
      <c r="J269" s="383"/>
      <c r="K269" s="383"/>
    </row>
    <row r="270" s="80" customFormat="1" ht="12.75" spans="2:11">
      <c r="B270" s="383"/>
      <c r="C270" s="383"/>
      <c r="D270" s="383"/>
      <c r="E270" s="383"/>
      <c r="F270" s="383"/>
      <c r="G270" s="383"/>
      <c r="H270" s="383"/>
      <c r="I270" s="383"/>
      <c r="J270" s="383"/>
      <c r="K270" s="383"/>
    </row>
    <row r="271" s="80" customFormat="1" ht="12.75" spans="2:11">
      <c r="B271" s="383"/>
      <c r="C271" s="383"/>
      <c r="D271" s="383"/>
      <c r="E271" s="383"/>
      <c r="F271" s="383"/>
      <c r="G271" s="383"/>
      <c r="H271" s="383"/>
      <c r="I271" s="383"/>
      <c r="J271" s="383"/>
      <c r="K271" s="383"/>
    </row>
    <row r="272" s="80" customFormat="1" ht="12.75" spans="2:11">
      <c r="B272" s="383"/>
      <c r="C272" s="383"/>
      <c r="D272" s="383"/>
      <c r="E272" s="383"/>
      <c r="F272" s="383"/>
      <c r="G272" s="383"/>
      <c r="H272" s="383"/>
      <c r="I272" s="383"/>
      <c r="J272" s="383"/>
      <c r="K272" s="383"/>
    </row>
    <row r="273" s="80" customFormat="1" ht="12.75" spans="2:11">
      <c r="B273" s="383"/>
      <c r="C273" s="383"/>
      <c r="D273" s="383"/>
      <c r="E273" s="383"/>
      <c r="F273" s="383"/>
      <c r="G273" s="383"/>
      <c r="H273" s="383"/>
      <c r="I273" s="383"/>
      <c r="J273" s="383"/>
      <c r="K273" s="383"/>
    </row>
    <row r="274" s="80" customFormat="1" ht="12.75" spans="2:11">
      <c r="B274" s="383"/>
      <c r="C274" s="383"/>
      <c r="D274" s="383"/>
      <c r="E274" s="383"/>
      <c r="F274" s="383"/>
      <c r="G274" s="383"/>
      <c r="H274" s="383"/>
      <c r="I274" s="383"/>
      <c r="J274" s="383"/>
      <c r="K274" s="383"/>
    </row>
    <row r="275" s="80" customFormat="1" ht="12.75" spans="2:11">
      <c r="B275" s="383"/>
      <c r="C275" s="383"/>
      <c r="D275" s="383"/>
      <c r="E275" s="383"/>
      <c r="F275" s="383"/>
      <c r="G275" s="383"/>
      <c r="H275" s="383"/>
      <c r="I275" s="383"/>
      <c r="J275" s="383"/>
      <c r="K275" s="383"/>
    </row>
    <row r="276" s="80" customFormat="1" ht="12.75" spans="2:11">
      <c r="B276" s="383"/>
      <c r="C276" s="383"/>
      <c r="D276" s="383"/>
      <c r="E276" s="383"/>
      <c r="F276" s="383"/>
      <c r="G276" s="383"/>
      <c r="H276" s="383"/>
      <c r="I276" s="383"/>
      <c r="J276" s="383"/>
      <c r="K276" s="383"/>
    </row>
    <row r="277" s="80" customFormat="1" ht="12.75" spans="2:11">
      <c r="B277" s="383"/>
      <c r="C277" s="383"/>
      <c r="D277" s="383"/>
      <c r="E277" s="383"/>
      <c r="F277" s="383"/>
      <c r="G277" s="383"/>
      <c r="H277" s="383"/>
      <c r="I277" s="383"/>
      <c r="J277" s="383"/>
      <c r="K277" s="383"/>
    </row>
    <row r="278" s="80" customFormat="1" ht="12.75" spans="2:11">
      <c r="B278" s="383"/>
      <c r="C278" s="383"/>
      <c r="D278" s="383"/>
      <c r="E278" s="383"/>
      <c r="F278" s="383"/>
      <c r="G278" s="383"/>
      <c r="H278" s="383"/>
      <c r="I278" s="383"/>
      <c r="J278" s="383"/>
      <c r="K278" s="383"/>
    </row>
    <row r="279" s="80" customFormat="1" ht="12.75" spans="2:11">
      <c r="B279" s="383"/>
      <c r="C279" s="383"/>
      <c r="D279" s="383"/>
      <c r="E279" s="383"/>
      <c r="F279" s="383"/>
      <c r="G279" s="383"/>
      <c r="H279" s="383"/>
      <c r="I279" s="383"/>
      <c r="J279" s="383"/>
      <c r="K279" s="383"/>
    </row>
    <row r="280" s="80" customFormat="1" ht="12.75" spans="2:11">
      <c r="B280" s="383"/>
      <c r="C280" s="383"/>
      <c r="D280" s="383"/>
      <c r="E280" s="383"/>
      <c r="F280" s="383"/>
      <c r="G280" s="383"/>
      <c r="H280" s="383"/>
      <c r="I280" s="383"/>
      <c r="J280" s="383"/>
      <c r="K280" s="383"/>
    </row>
    <row r="281" s="80" customFormat="1" ht="12.75" spans="2:11">
      <c r="B281" s="383"/>
      <c r="C281" s="383"/>
      <c r="D281" s="383"/>
      <c r="E281" s="383"/>
      <c r="F281" s="383"/>
      <c r="G281" s="383"/>
      <c r="H281" s="383"/>
      <c r="I281" s="383"/>
      <c r="J281" s="383"/>
      <c r="K281" s="383"/>
    </row>
    <row r="282" s="80" customFormat="1" ht="12.75" spans="2:11">
      <c r="B282" s="383"/>
      <c r="C282" s="383"/>
      <c r="D282" s="383"/>
      <c r="E282" s="383"/>
      <c r="F282" s="383"/>
      <c r="G282" s="383"/>
      <c r="H282" s="383"/>
      <c r="I282" s="383"/>
      <c r="J282" s="383"/>
      <c r="K282" s="383"/>
    </row>
    <row r="283" s="80" customFormat="1" ht="12.75" spans="2:11">
      <c r="B283" s="383"/>
      <c r="C283" s="383"/>
      <c r="D283" s="383"/>
      <c r="E283" s="383"/>
      <c r="F283" s="383"/>
      <c r="G283" s="383"/>
      <c r="H283" s="383"/>
      <c r="I283" s="383"/>
      <c r="J283" s="383"/>
      <c r="K283" s="383"/>
    </row>
    <row r="284" s="80" customFormat="1" ht="12.75" spans="2:11">
      <c r="B284" s="383"/>
      <c r="C284" s="383"/>
      <c r="D284" s="383"/>
      <c r="E284" s="383"/>
      <c r="F284" s="383"/>
      <c r="G284" s="383"/>
      <c r="H284" s="383"/>
      <c r="I284" s="383"/>
      <c r="J284" s="383"/>
      <c r="K284" s="383"/>
    </row>
    <row r="285" s="80" customFormat="1" ht="12.75" spans="2:11">
      <c r="B285" s="383"/>
      <c r="C285" s="383"/>
      <c r="D285" s="383"/>
      <c r="E285" s="383"/>
      <c r="F285" s="383"/>
      <c r="G285" s="383"/>
      <c r="H285" s="383"/>
      <c r="I285" s="383"/>
      <c r="J285" s="383"/>
      <c r="K285" s="383"/>
    </row>
    <row r="286" s="80" customFormat="1" ht="12.75" spans="2:11">
      <c r="B286" s="383"/>
      <c r="C286" s="383"/>
      <c r="D286" s="383"/>
      <c r="E286" s="383"/>
      <c r="F286" s="383"/>
      <c r="G286" s="383"/>
      <c r="H286" s="383"/>
      <c r="I286" s="383"/>
      <c r="J286" s="383"/>
      <c r="K286" s="383"/>
    </row>
    <row r="287" s="80" customFormat="1" ht="12.75" spans="2:11">
      <c r="B287" s="383"/>
      <c r="C287" s="383"/>
      <c r="D287" s="383"/>
      <c r="E287" s="383"/>
      <c r="F287" s="383"/>
      <c r="G287" s="383"/>
      <c r="H287" s="383"/>
      <c r="I287" s="383"/>
      <c r="J287" s="383"/>
      <c r="K287" s="383"/>
    </row>
    <row r="288" s="80" customFormat="1" ht="12.75" spans="2:11">
      <c r="B288" s="383"/>
      <c r="C288" s="383"/>
      <c r="D288" s="383"/>
      <c r="E288" s="383"/>
      <c r="F288" s="383"/>
      <c r="G288" s="383"/>
      <c r="H288" s="383"/>
      <c r="I288" s="383"/>
      <c r="J288" s="383"/>
      <c r="K288" s="383"/>
    </row>
    <row r="289" s="80" customFormat="1" ht="12.75" spans="2:11">
      <c r="B289" s="383"/>
      <c r="C289" s="383"/>
      <c r="D289" s="383"/>
      <c r="E289" s="383"/>
      <c r="F289" s="383"/>
      <c r="G289" s="383"/>
      <c r="H289" s="383"/>
      <c r="I289" s="383"/>
      <c r="J289" s="383"/>
      <c r="K289" s="383"/>
    </row>
    <row r="290" s="80" customFormat="1" ht="12.75" spans="2:11">
      <c r="B290" s="383"/>
      <c r="C290" s="383"/>
      <c r="D290" s="383"/>
      <c r="E290" s="383"/>
      <c r="F290" s="383"/>
      <c r="G290" s="383"/>
      <c r="H290" s="383"/>
      <c r="I290" s="383"/>
      <c r="J290" s="383"/>
      <c r="K290" s="383"/>
    </row>
    <row r="291" s="80" customFormat="1" ht="12.75" spans="2:11">
      <c r="B291" s="383"/>
      <c r="C291" s="383"/>
      <c r="D291" s="383"/>
      <c r="E291" s="383"/>
      <c r="F291" s="383"/>
      <c r="G291" s="383"/>
      <c r="H291" s="383"/>
      <c r="I291" s="383"/>
      <c r="J291" s="383"/>
      <c r="K291" s="383"/>
    </row>
    <row r="292" s="80" customFormat="1" ht="12.75" spans="2:11">
      <c r="B292" s="383"/>
      <c r="C292" s="383"/>
      <c r="D292" s="383"/>
      <c r="E292" s="383"/>
      <c r="F292" s="383"/>
      <c r="G292" s="383"/>
      <c r="H292" s="383"/>
      <c r="I292" s="383"/>
      <c r="J292" s="383"/>
      <c r="K292" s="383"/>
    </row>
    <row r="293" s="80" customFormat="1" ht="12.75" spans="2:11">
      <c r="B293" s="383"/>
      <c r="C293" s="383"/>
      <c r="D293" s="383"/>
      <c r="E293" s="383"/>
      <c r="F293" s="383"/>
      <c r="G293" s="383"/>
      <c r="H293" s="383"/>
      <c r="I293" s="383"/>
      <c r="J293" s="383"/>
      <c r="K293" s="383"/>
    </row>
    <row r="294" s="80" customFormat="1" ht="12.75" spans="2:11">
      <c r="B294" s="383"/>
      <c r="C294" s="383"/>
      <c r="D294" s="383"/>
      <c r="E294" s="383"/>
      <c r="F294" s="383"/>
      <c r="G294" s="383"/>
      <c r="H294" s="383"/>
      <c r="I294" s="383"/>
      <c r="J294" s="383"/>
      <c r="K294" s="383"/>
    </row>
    <row r="295" s="80" customFormat="1" ht="12.75" spans="2:11">
      <c r="B295" s="383"/>
      <c r="C295" s="383"/>
      <c r="D295" s="383"/>
      <c r="E295" s="383"/>
      <c r="F295" s="383"/>
      <c r="G295" s="383"/>
      <c r="H295" s="383"/>
      <c r="I295" s="383"/>
      <c r="J295" s="383"/>
      <c r="K295" s="383"/>
    </row>
    <row r="296" s="80" customFormat="1" ht="12.75" spans="2:11">
      <c r="B296" s="383"/>
      <c r="C296" s="383"/>
      <c r="D296" s="383"/>
      <c r="E296" s="383"/>
      <c r="F296" s="383"/>
      <c r="G296" s="383"/>
      <c r="H296" s="383"/>
      <c r="I296" s="383"/>
      <c r="J296" s="383"/>
      <c r="K296" s="383"/>
    </row>
    <row r="297" s="80" customFormat="1" ht="12.75" spans="2:11">
      <c r="B297" s="383"/>
      <c r="C297" s="383"/>
      <c r="D297" s="383"/>
      <c r="E297" s="383"/>
      <c r="F297" s="383"/>
      <c r="G297" s="383"/>
      <c r="H297" s="383"/>
      <c r="I297" s="383"/>
      <c r="J297" s="383"/>
      <c r="K297" s="383"/>
    </row>
    <row r="298" s="80" customFormat="1" ht="12.75" spans="2:11">
      <c r="B298" s="383"/>
      <c r="C298" s="383"/>
      <c r="D298" s="383"/>
      <c r="E298" s="383"/>
      <c r="F298" s="383"/>
      <c r="G298" s="383"/>
      <c r="H298" s="383"/>
      <c r="I298" s="383"/>
      <c r="J298" s="383"/>
      <c r="K298" s="383"/>
    </row>
    <row r="299" s="80" customFormat="1" ht="12.75" spans="2:11">
      <c r="B299" s="383"/>
      <c r="C299" s="383"/>
      <c r="D299" s="383"/>
      <c r="E299" s="383"/>
      <c r="F299" s="383"/>
      <c r="G299" s="383"/>
      <c r="H299" s="383"/>
      <c r="I299" s="383"/>
      <c r="J299" s="383"/>
      <c r="K299" s="383"/>
    </row>
    <row r="300" s="80" customFormat="1" ht="12.75" spans="2:11">
      <c r="B300" s="383"/>
      <c r="C300" s="383"/>
      <c r="D300" s="383"/>
      <c r="E300" s="383"/>
      <c r="F300" s="383"/>
      <c r="G300" s="383"/>
      <c r="H300" s="383"/>
      <c r="I300" s="383"/>
      <c r="J300" s="383"/>
      <c r="K300" s="383"/>
    </row>
  </sheetData>
  <mergeCells count="19">
    <mergeCell ref="B2:P2"/>
    <mergeCell ref="B4:P4"/>
    <mergeCell ref="F18:I18"/>
    <mergeCell ref="B19:E19"/>
    <mergeCell ref="B67:P67"/>
    <mergeCell ref="B70:C70"/>
    <mergeCell ref="B111:F111"/>
    <mergeCell ref="B114:Q114"/>
    <mergeCell ref="B117:C117"/>
    <mergeCell ref="I118:K118"/>
    <mergeCell ref="M118:O118"/>
    <mergeCell ref="M123:P123"/>
    <mergeCell ref="I124:L124"/>
    <mergeCell ref="B158:E158"/>
    <mergeCell ref="B161:P161"/>
    <mergeCell ref="B164:C164"/>
    <mergeCell ref="B207:P207"/>
    <mergeCell ref="B255:C255"/>
    <mergeCell ref="H165:K166"/>
  </mergeCells>
  <pageMargins left="0.7" right="0.7" top="0.75" bottom="0.75" header="0.3" footer="0.3"/>
  <pageSetup paperSize="9" orientation="portrait"/>
  <headerFooter/>
  <ignoredErrors>
    <ignoredError sqref="I72" formula="1"/>
    <ignoredError sqref="O23" formulaRange="1"/>
  </ignoredErrors>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499984740745262"/>
  </sheetPr>
  <dimension ref="B2:Q108"/>
  <sheetViews>
    <sheetView zoomScale="90" zoomScaleNormal="90" topLeftCell="A55" workbookViewId="0">
      <selection activeCell="G86" sqref="G86"/>
    </sheetView>
  </sheetViews>
  <sheetFormatPr defaultColWidth="11.552380952381" defaultRowHeight="15"/>
  <cols>
    <col min="1" max="1" width="3" customWidth="1"/>
    <col min="2" max="2" width="32.552380952381" customWidth="1"/>
    <col min="3" max="3" width="60.6666666666667" customWidth="1"/>
    <col min="4" max="4" width="7.88571428571429" customWidth="1"/>
    <col min="5" max="5" width="10.3333333333333" customWidth="1"/>
    <col min="6" max="8" width="20.6666666666667" customWidth="1"/>
    <col min="10" max="10" width="16.3333333333333" customWidth="1"/>
  </cols>
  <sheetData>
    <row r="2" ht="19.95" customHeight="1" spans="2:17">
      <c r="B2" s="2" t="s">
        <v>0</v>
      </c>
      <c r="C2" s="2"/>
      <c r="D2" s="2"/>
      <c r="E2" s="2"/>
      <c r="F2" s="2"/>
      <c r="G2" s="2"/>
      <c r="H2" s="2"/>
      <c r="I2" s="2"/>
      <c r="J2" s="2"/>
      <c r="K2" s="2"/>
      <c r="L2" s="2"/>
      <c r="M2" s="2"/>
      <c r="N2" s="2"/>
      <c r="O2" s="2"/>
      <c r="P2" s="2"/>
      <c r="Q2" s="2"/>
    </row>
    <row r="3" spans="3:17">
      <c r="C3" s="343"/>
      <c r="D3" s="343"/>
      <c r="E3" s="343"/>
      <c r="F3" s="343"/>
      <c r="G3" s="343"/>
      <c r="H3" s="343"/>
      <c r="I3" s="343"/>
      <c r="J3" s="343"/>
      <c r="K3" s="343"/>
      <c r="L3" s="343"/>
      <c r="M3" s="343"/>
      <c r="N3" s="382"/>
      <c r="O3" s="383"/>
      <c r="P3" s="383"/>
      <c r="Q3" s="383"/>
    </row>
    <row r="4" spans="2:17">
      <c r="B4" s="344" t="s">
        <v>861</v>
      </c>
      <c r="C4" s="344"/>
      <c r="D4" s="344"/>
      <c r="E4" s="344"/>
      <c r="F4" s="344"/>
      <c r="G4" s="344"/>
      <c r="H4" s="344"/>
      <c r="I4" s="344"/>
      <c r="J4" s="344"/>
      <c r="K4" s="344"/>
      <c r="L4" s="344"/>
      <c r="M4" s="344"/>
      <c r="N4" s="344"/>
      <c r="O4" s="344"/>
      <c r="P4" s="344"/>
      <c r="Q4" s="344"/>
    </row>
    <row r="6" spans="2:8">
      <c r="B6" s="345" t="s">
        <v>862</v>
      </c>
      <c r="C6" s="346"/>
      <c r="D6" s="346"/>
      <c r="E6" s="346"/>
      <c r="F6" s="346"/>
      <c r="G6" s="346"/>
      <c r="H6" s="346"/>
    </row>
    <row r="7" spans="2:8">
      <c r="B7" s="347" t="s">
        <v>863</v>
      </c>
      <c r="C7" s="347" t="s">
        <v>10</v>
      </c>
      <c r="D7" s="347" t="s">
        <v>11</v>
      </c>
      <c r="E7" s="348" t="s">
        <v>864</v>
      </c>
      <c r="F7" s="349" t="s">
        <v>865</v>
      </c>
      <c r="G7" s="347" t="s">
        <v>866</v>
      </c>
      <c r="H7" s="347" t="s">
        <v>867</v>
      </c>
    </row>
    <row r="8" spans="2:8">
      <c r="B8" s="350" t="s">
        <v>868</v>
      </c>
      <c r="C8" s="351"/>
      <c r="D8" s="352"/>
      <c r="E8" s="352"/>
      <c r="F8" s="352"/>
      <c r="G8" s="352"/>
      <c r="H8" s="353"/>
    </row>
    <row r="9" spans="2:8">
      <c r="B9" s="346" t="s">
        <v>868</v>
      </c>
      <c r="C9" s="354" t="s">
        <v>869</v>
      </c>
      <c r="D9" s="355"/>
      <c r="E9" s="356"/>
      <c r="F9" s="357"/>
      <c r="G9" s="358">
        <f>+SUM(G10:G14)</f>
        <v>49118750</v>
      </c>
      <c r="H9" s="358">
        <f>+SUM(H10:H14)</f>
        <v>56977750</v>
      </c>
    </row>
    <row r="10" spans="2:8">
      <c r="B10" s="346" t="s">
        <v>868</v>
      </c>
      <c r="C10" s="353" t="s">
        <v>870</v>
      </c>
      <c r="D10" s="353" t="s">
        <v>871</v>
      </c>
      <c r="E10" s="359">
        <v>20000</v>
      </c>
      <c r="F10" s="360">
        <v>450</v>
      </c>
      <c r="G10" s="360">
        <v>9000000</v>
      </c>
      <c r="H10" s="360">
        <f t="shared" ref="H10:H73" si="0">+G10*1.16</f>
        <v>10440000</v>
      </c>
    </row>
    <row r="11" spans="2:8">
      <c r="B11" s="346" t="s">
        <v>868</v>
      </c>
      <c r="C11" s="353" t="s">
        <v>872</v>
      </c>
      <c r="D11" s="353" t="s">
        <v>873</v>
      </c>
      <c r="E11" s="361">
        <v>1</v>
      </c>
      <c r="F11" s="360">
        <v>5750000</v>
      </c>
      <c r="G11" s="360">
        <v>5750000</v>
      </c>
      <c r="H11" s="360">
        <f t="shared" si="0"/>
        <v>6670000</v>
      </c>
    </row>
    <row r="12" spans="2:8">
      <c r="B12" s="346" t="s">
        <v>868</v>
      </c>
      <c r="C12" s="353" t="s">
        <v>874</v>
      </c>
      <c r="D12" s="353" t="s">
        <v>873</v>
      </c>
      <c r="E12" s="361">
        <v>1</v>
      </c>
      <c r="F12" s="360">
        <v>22912500</v>
      </c>
      <c r="G12" s="360">
        <v>22912500</v>
      </c>
      <c r="H12" s="360">
        <f t="shared" si="0"/>
        <v>26578500</v>
      </c>
    </row>
    <row r="13" spans="2:8">
      <c r="B13" s="346" t="s">
        <v>868</v>
      </c>
      <c r="C13" s="353" t="s">
        <v>875</v>
      </c>
      <c r="D13" s="353" t="s">
        <v>873</v>
      </c>
      <c r="E13" s="362">
        <v>0.35</v>
      </c>
      <c r="F13" s="360">
        <v>22912500</v>
      </c>
      <c r="G13" s="360">
        <v>8019375</v>
      </c>
      <c r="H13" s="360">
        <f t="shared" si="0"/>
        <v>9302475</v>
      </c>
    </row>
    <row r="14" spans="2:8">
      <c r="B14" s="346" t="s">
        <v>868</v>
      </c>
      <c r="C14" s="353" t="s">
        <v>876</v>
      </c>
      <c r="D14" s="353" t="s">
        <v>873</v>
      </c>
      <c r="E14" s="362">
        <v>0.15</v>
      </c>
      <c r="F14" s="360">
        <v>22912500</v>
      </c>
      <c r="G14" s="360">
        <v>3436875</v>
      </c>
      <c r="H14" s="360">
        <f t="shared" si="0"/>
        <v>3986775</v>
      </c>
    </row>
    <row r="15" spans="2:8">
      <c r="B15" s="346" t="s">
        <v>868</v>
      </c>
      <c r="C15" s="354" t="s">
        <v>877</v>
      </c>
      <c r="D15" s="354"/>
      <c r="E15" s="363"/>
      <c r="F15" s="358"/>
      <c r="G15" s="358">
        <f>+SUM(G16:G27)</f>
        <v>113672524.96</v>
      </c>
      <c r="H15" s="358">
        <f t="shared" si="0"/>
        <v>131860128.9536</v>
      </c>
    </row>
    <row r="16" spans="2:8">
      <c r="B16" s="346" t="s">
        <v>868</v>
      </c>
      <c r="C16" s="353" t="s">
        <v>878</v>
      </c>
      <c r="D16" s="353" t="s">
        <v>879</v>
      </c>
      <c r="E16" s="361">
        <v>5</v>
      </c>
      <c r="F16" s="360">
        <v>350000</v>
      </c>
      <c r="G16" s="360">
        <f>+F16*E16</f>
        <v>1750000</v>
      </c>
      <c r="H16" s="360">
        <f t="shared" si="0"/>
        <v>2030000</v>
      </c>
    </row>
    <row r="17" spans="2:8">
      <c r="B17" s="346" t="s">
        <v>868</v>
      </c>
      <c r="C17" s="353" t="s">
        <v>880</v>
      </c>
      <c r="D17" s="353" t="s">
        <v>879</v>
      </c>
      <c r="E17" s="361">
        <v>28</v>
      </c>
      <c r="F17" s="360">
        <v>1245535.71428571</v>
      </c>
      <c r="G17" s="360">
        <f>+F17*E17</f>
        <v>34875000</v>
      </c>
      <c r="H17" s="360">
        <f t="shared" si="0"/>
        <v>40455000</v>
      </c>
    </row>
    <row r="18" spans="2:8">
      <c r="B18" s="346" t="s">
        <v>868</v>
      </c>
      <c r="C18" s="353" t="s">
        <v>881</v>
      </c>
      <c r="D18" s="353" t="s">
        <v>882</v>
      </c>
      <c r="E18" s="361">
        <v>1</v>
      </c>
      <c r="F18" s="360">
        <v>332933</v>
      </c>
      <c r="G18" s="360">
        <v>332933</v>
      </c>
      <c r="H18" s="360">
        <f t="shared" si="0"/>
        <v>386202.28</v>
      </c>
    </row>
    <row r="19" spans="2:8">
      <c r="B19" s="346" t="s">
        <v>868</v>
      </c>
      <c r="C19" s="353" t="s">
        <v>883</v>
      </c>
      <c r="D19" s="353" t="s">
        <v>873</v>
      </c>
      <c r="E19" s="361">
        <v>1</v>
      </c>
      <c r="F19" s="360">
        <v>1275000</v>
      </c>
      <c r="G19" s="360">
        <v>1275000</v>
      </c>
      <c r="H19" s="360">
        <f t="shared" si="0"/>
        <v>1479000</v>
      </c>
    </row>
    <row r="20" spans="2:8">
      <c r="B20" s="346" t="s">
        <v>868</v>
      </c>
      <c r="C20" s="353" t="s">
        <v>884</v>
      </c>
      <c r="D20" s="353" t="s">
        <v>873</v>
      </c>
      <c r="E20" s="361">
        <v>1</v>
      </c>
      <c r="F20" s="360">
        <v>4500000</v>
      </c>
      <c r="G20" s="360">
        <v>4500000</v>
      </c>
      <c r="H20" s="360">
        <f t="shared" si="0"/>
        <v>5220000</v>
      </c>
    </row>
    <row r="21" spans="2:8">
      <c r="B21" s="346" t="s">
        <v>868</v>
      </c>
      <c r="C21" s="353" t="s">
        <v>885</v>
      </c>
      <c r="D21" s="353" t="s">
        <v>873</v>
      </c>
      <c r="E21" s="361">
        <v>1</v>
      </c>
      <c r="F21" s="360">
        <v>450000</v>
      </c>
      <c r="G21" s="360">
        <v>450000</v>
      </c>
      <c r="H21" s="360">
        <f t="shared" si="0"/>
        <v>522000</v>
      </c>
    </row>
    <row r="22" spans="2:8">
      <c r="B22" s="346" t="s">
        <v>868</v>
      </c>
      <c r="C22" s="353" t="s">
        <v>886</v>
      </c>
      <c r="D22" s="353" t="s">
        <v>879</v>
      </c>
      <c r="E22" s="361">
        <v>2</v>
      </c>
      <c r="F22" s="360">
        <v>1250000</v>
      </c>
      <c r="G22" s="360">
        <v>2500000</v>
      </c>
      <c r="H22" s="360">
        <f t="shared" si="0"/>
        <v>2900000</v>
      </c>
    </row>
    <row r="23" spans="2:8">
      <c r="B23" s="346" t="s">
        <v>868</v>
      </c>
      <c r="C23" s="353" t="s">
        <v>887</v>
      </c>
      <c r="D23" s="353" t="s">
        <v>879</v>
      </c>
      <c r="E23" s="361">
        <v>6</v>
      </c>
      <c r="F23" s="360">
        <v>640000</v>
      </c>
      <c r="G23" s="360">
        <v>3840000</v>
      </c>
      <c r="H23" s="360">
        <f t="shared" si="0"/>
        <v>4454400</v>
      </c>
    </row>
    <row r="24" spans="2:8">
      <c r="B24" s="346" t="s">
        <v>868</v>
      </c>
      <c r="C24" s="353" t="s">
        <v>888</v>
      </c>
      <c r="D24" s="353" t="s">
        <v>879</v>
      </c>
      <c r="E24" s="361">
        <v>2</v>
      </c>
      <c r="F24" s="360">
        <v>23822250</v>
      </c>
      <c r="G24" s="360">
        <v>47644500</v>
      </c>
      <c r="H24" s="360">
        <f t="shared" si="0"/>
        <v>55267620</v>
      </c>
    </row>
    <row r="25" spans="2:8">
      <c r="B25" s="346" t="s">
        <v>868</v>
      </c>
      <c r="C25" s="353" t="s">
        <v>889</v>
      </c>
      <c r="D25" s="353" t="s">
        <v>879</v>
      </c>
      <c r="E25" s="361">
        <v>1</v>
      </c>
      <c r="F25" s="360">
        <v>750000</v>
      </c>
      <c r="G25" s="360">
        <v>750000</v>
      </c>
      <c r="H25" s="360">
        <f t="shared" si="0"/>
        <v>870000</v>
      </c>
    </row>
    <row r="26" spans="2:8">
      <c r="B26" s="346" t="s">
        <v>868</v>
      </c>
      <c r="C26" s="353" t="s">
        <v>890</v>
      </c>
      <c r="D26" s="353" t="s">
        <v>873</v>
      </c>
      <c r="E26" s="361">
        <v>1</v>
      </c>
      <c r="F26" s="360">
        <v>7500000</v>
      </c>
      <c r="G26" s="360">
        <v>7500000</v>
      </c>
      <c r="H26" s="360">
        <f t="shared" si="0"/>
        <v>8700000</v>
      </c>
    </row>
    <row r="27" spans="2:8">
      <c r="B27" s="346" t="s">
        <v>868</v>
      </c>
      <c r="C27" s="353" t="s">
        <v>891</v>
      </c>
      <c r="D27" s="353" t="s">
        <v>873</v>
      </c>
      <c r="E27" s="362">
        <v>0.12</v>
      </c>
      <c r="F27" s="364">
        <v>68792433</v>
      </c>
      <c r="G27" s="364">
        <v>8255091.96</v>
      </c>
      <c r="H27" s="364">
        <f t="shared" si="0"/>
        <v>9575906.6736</v>
      </c>
    </row>
    <row r="28" spans="2:8">
      <c r="B28" s="346" t="s">
        <v>868</v>
      </c>
      <c r="C28" s="354" t="s">
        <v>892</v>
      </c>
      <c r="D28" s="354" t="s">
        <v>873</v>
      </c>
      <c r="E28" s="365">
        <v>0.05</v>
      </c>
      <c r="F28" s="358">
        <v>115866274.96</v>
      </c>
      <c r="G28" s="358">
        <v>5793313.748</v>
      </c>
      <c r="H28" s="358">
        <f t="shared" si="0"/>
        <v>6720243.94768</v>
      </c>
    </row>
    <row r="29" spans="2:8">
      <c r="B29" s="346" t="s">
        <v>868</v>
      </c>
      <c r="C29" s="366" t="s">
        <v>893</v>
      </c>
      <c r="D29" s="367"/>
      <c r="E29" s="368"/>
      <c r="F29" s="366"/>
      <c r="G29" s="369">
        <f>+G28+G9+G15</f>
        <v>168584588.708</v>
      </c>
      <c r="H29" s="369">
        <f>+H28+H9+H15</f>
        <v>195558122.90128</v>
      </c>
    </row>
    <row r="30" spans="2:8">
      <c r="B30" s="350" t="s">
        <v>894</v>
      </c>
      <c r="C30" s="351"/>
      <c r="D30" s="352"/>
      <c r="E30" s="352"/>
      <c r="F30" s="352"/>
      <c r="G30" s="352"/>
      <c r="H30" s="352"/>
    </row>
    <row r="31" spans="2:8">
      <c r="B31" s="346" t="s">
        <v>894</v>
      </c>
      <c r="C31" s="370" t="s">
        <v>869</v>
      </c>
      <c r="D31" s="371"/>
      <c r="E31" s="372"/>
      <c r="F31" s="373"/>
      <c r="G31" s="374">
        <f>SUBTOTAL(9,G32:G44)</f>
        <v>228045540.81</v>
      </c>
      <c r="H31" s="374">
        <f>SUBTOTAL(9,H32:H44)</f>
        <v>264532827.3396</v>
      </c>
    </row>
    <row r="32" spans="2:8">
      <c r="B32" s="346" t="s">
        <v>894</v>
      </c>
      <c r="C32" s="353" t="s">
        <v>895</v>
      </c>
      <c r="D32" s="353" t="s">
        <v>873</v>
      </c>
      <c r="E32" s="375">
        <v>1</v>
      </c>
      <c r="F32" s="376">
        <v>21240416.99</v>
      </c>
      <c r="G32" s="360">
        <v>21240416.99</v>
      </c>
      <c r="H32" s="360">
        <f t="shared" si="0"/>
        <v>24638883.7084</v>
      </c>
    </row>
    <row r="33" spans="2:8">
      <c r="B33" s="346" t="s">
        <v>894</v>
      </c>
      <c r="C33" s="353" t="s">
        <v>896</v>
      </c>
      <c r="D33" s="353" t="s">
        <v>873</v>
      </c>
      <c r="E33" s="375">
        <v>1</v>
      </c>
      <c r="F33" s="376">
        <v>31968335.23</v>
      </c>
      <c r="G33" s="360">
        <v>31968336.23</v>
      </c>
      <c r="H33" s="360">
        <f t="shared" si="0"/>
        <v>37083270.0268</v>
      </c>
    </row>
    <row r="34" spans="2:8">
      <c r="B34" s="346" t="s">
        <v>894</v>
      </c>
      <c r="C34" s="353" t="s">
        <v>897</v>
      </c>
      <c r="D34" s="353" t="s">
        <v>898</v>
      </c>
      <c r="E34" s="375">
        <v>1</v>
      </c>
      <c r="F34" s="376">
        <v>111491485.41</v>
      </c>
      <c r="G34" s="360">
        <v>111491485.41</v>
      </c>
      <c r="H34" s="360">
        <f t="shared" si="0"/>
        <v>129330123.0756</v>
      </c>
    </row>
    <row r="35" spans="2:8">
      <c r="B35" s="346" t="s">
        <v>894</v>
      </c>
      <c r="C35" s="353" t="s">
        <v>899</v>
      </c>
      <c r="D35" s="353" t="s">
        <v>898</v>
      </c>
      <c r="E35" s="375">
        <v>1</v>
      </c>
      <c r="F35" s="376">
        <v>21625995.78</v>
      </c>
      <c r="G35" s="360">
        <v>21625995.78</v>
      </c>
      <c r="H35" s="360">
        <f t="shared" si="0"/>
        <v>25086155.1048</v>
      </c>
    </row>
    <row r="36" spans="2:8">
      <c r="B36" s="346" t="s">
        <v>894</v>
      </c>
      <c r="C36" s="353" t="s">
        <v>900</v>
      </c>
      <c r="D36" s="353" t="s">
        <v>898</v>
      </c>
      <c r="E36" s="375">
        <v>1</v>
      </c>
      <c r="F36" s="376">
        <v>16550798.88</v>
      </c>
      <c r="G36" s="360">
        <v>16550798.88</v>
      </c>
      <c r="H36" s="360">
        <f t="shared" si="0"/>
        <v>19198926.7008</v>
      </c>
    </row>
    <row r="37" spans="2:8">
      <c r="B37" s="346" t="s">
        <v>894</v>
      </c>
      <c r="C37" s="353" t="s">
        <v>901</v>
      </c>
      <c r="D37" s="353" t="s">
        <v>898</v>
      </c>
      <c r="E37" s="375">
        <v>1</v>
      </c>
      <c r="F37" s="376">
        <v>6282841.65</v>
      </c>
      <c r="G37" s="360">
        <v>6282841.65</v>
      </c>
      <c r="H37" s="360">
        <f t="shared" si="0"/>
        <v>7288096.314</v>
      </c>
    </row>
    <row r="38" spans="2:8">
      <c r="B38" s="346" t="s">
        <v>894</v>
      </c>
      <c r="C38" s="353" t="s">
        <v>902</v>
      </c>
      <c r="D38" s="353" t="s">
        <v>898</v>
      </c>
      <c r="E38" s="375">
        <v>1</v>
      </c>
      <c r="F38" s="376">
        <v>3601480.86</v>
      </c>
      <c r="G38" s="360">
        <v>3601480.86</v>
      </c>
      <c r="H38" s="360">
        <f t="shared" si="0"/>
        <v>4177717.7976</v>
      </c>
    </row>
    <row r="39" spans="2:8">
      <c r="B39" s="346" t="s">
        <v>894</v>
      </c>
      <c r="C39" s="353" t="s">
        <v>903</v>
      </c>
      <c r="D39" s="353" t="s">
        <v>898</v>
      </c>
      <c r="E39" s="375">
        <v>1</v>
      </c>
      <c r="F39" s="376">
        <v>2420460.94</v>
      </c>
      <c r="G39" s="360">
        <v>2420460.94</v>
      </c>
      <c r="H39" s="360">
        <f t="shared" si="0"/>
        <v>2807734.6904</v>
      </c>
    </row>
    <row r="40" spans="2:8">
      <c r="B40" s="346" t="s">
        <v>894</v>
      </c>
      <c r="C40" s="353" t="s">
        <v>904</v>
      </c>
      <c r="D40" s="353" t="s">
        <v>898</v>
      </c>
      <c r="E40" s="375">
        <v>1</v>
      </c>
      <c r="F40" s="376">
        <v>1531717.38</v>
      </c>
      <c r="G40" s="360">
        <v>1531717.38</v>
      </c>
      <c r="H40" s="360">
        <f t="shared" si="0"/>
        <v>1776792.1608</v>
      </c>
    </row>
    <row r="41" spans="2:8">
      <c r="B41" s="346" t="s">
        <v>894</v>
      </c>
      <c r="C41" s="353" t="s">
        <v>905</v>
      </c>
      <c r="D41" s="353" t="s">
        <v>898</v>
      </c>
      <c r="E41" s="375">
        <v>1</v>
      </c>
      <c r="F41" s="376">
        <v>541771.55</v>
      </c>
      <c r="G41" s="360">
        <v>541771.55</v>
      </c>
      <c r="H41" s="360">
        <f t="shared" si="0"/>
        <v>628454.998</v>
      </c>
    </row>
    <row r="42" spans="2:8">
      <c r="B42" s="346" t="s">
        <v>894</v>
      </c>
      <c r="C42" s="353" t="s">
        <v>906</v>
      </c>
      <c r="D42" s="353" t="s">
        <v>898</v>
      </c>
      <c r="E42" s="375">
        <v>1</v>
      </c>
      <c r="F42" s="376">
        <v>174489.82</v>
      </c>
      <c r="G42" s="360">
        <v>174489.82</v>
      </c>
      <c r="H42" s="360">
        <f t="shared" si="0"/>
        <v>202408.1912</v>
      </c>
    </row>
    <row r="43" spans="2:8">
      <c r="B43" s="346" t="s">
        <v>894</v>
      </c>
      <c r="C43" s="353" t="s">
        <v>907</v>
      </c>
      <c r="D43" s="353" t="s">
        <v>898</v>
      </c>
      <c r="E43" s="375">
        <v>1</v>
      </c>
      <c r="F43" s="376">
        <v>7952528.82</v>
      </c>
      <c r="G43" s="360">
        <v>7952528.82</v>
      </c>
      <c r="H43" s="360">
        <f t="shared" si="0"/>
        <v>9224933.4312</v>
      </c>
    </row>
    <row r="44" spans="2:8">
      <c r="B44" s="346" t="s">
        <v>894</v>
      </c>
      <c r="C44" s="353" t="s">
        <v>908</v>
      </c>
      <c r="D44" s="353" t="s">
        <v>898</v>
      </c>
      <c r="E44" s="375">
        <v>1</v>
      </c>
      <c r="F44" s="376">
        <v>2663216.5</v>
      </c>
      <c r="G44" s="360">
        <v>2663216.5</v>
      </c>
      <c r="H44" s="360">
        <f t="shared" si="0"/>
        <v>3089331.14</v>
      </c>
    </row>
    <row r="45" spans="2:8">
      <c r="B45" s="346" t="s">
        <v>894</v>
      </c>
      <c r="C45" s="370" t="s">
        <v>877</v>
      </c>
      <c r="D45" s="370"/>
      <c r="E45" s="377"/>
      <c r="F45" s="378"/>
      <c r="G45" s="374">
        <f>+SUBTOTAL(9,G46:G53)</f>
        <v>6550000</v>
      </c>
      <c r="H45" s="374">
        <f t="shared" si="0"/>
        <v>7598000</v>
      </c>
    </row>
    <row r="46" spans="2:8">
      <c r="B46" s="346" t="s">
        <v>894</v>
      </c>
      <c r="C46" s="353" t="s">
        <v>909</v>
      </c>
      <c r="D46" s="353"/>
      <c r="E46" s="375">
        <v>2</v>
      </c>
      <c r="F46" s="376">
        <v>1250000</v>
      </c>
      <c r="G46" s="360">
        <v>2500000</v>
      </c>
      <c r="H46" s="360">
        <f t="shared" si="0"/>
        <v>2900000</v>
      </c>
    </row>
    <row r="47" spans="2:8">
      <c r="B47" s="346" t="s">
        <v>894</v>
      </c>
      <c r="C47" s="353" t="s">
        <v>889</v>
      </c>
      <c r="D47" s="353"/>
      <c r="E47" s="375">
        <v>1</v>
      </c>
      <c r="F47" s="376">
        <v>750000</v>
      </c>
      <c r="G47" s="360">
        <v>750000</v>
      </c>
      <c r="H47" s="360">
        <f t="shared" si="0"/>
        <v>870000</v>
      </c>
    </row>
    <row r="48" spans="2:8">
      <c r="B48" s="346" t="s">
        <v>894</v>
      </c>
      <c r="C48" s="353" t="s">
        <v>910</v>
      </c>
      <c r="D48" s="353"/>
      <c r="E48" s="375">
        <v>1</v>
      </c>
      <c r="F48" s="376">
        <v>750000</v>
      </c>
      <c r="G48" s="360">
        <v>750000</v>
      </c>
      <c r="H48" s="360">
        <f t="shared" si="0"/>
        <v>870000</v>
      </c>
    </row>
    <row r="49" spans="2:8">
      <c r="B49" s="346" t="s">
        <v>894</v>
      </c>
      <c r="C49" s="353" t="s">
        <v>911</v>
      </c>
      <c r="D49" s="353"/>
      <c r="E49" s="375">
        <v>1</v>
      </c>
      <c r="F49" s="376">
        <v>750000</v>
      </c>
      <c r="G49" s="360">
        <v>750000</v>
      </c>
      <c r="H49" s="360">
        <f t="shared" si="0"/>
        <v>870000</v>
      </c>
    </row>
    <row r="50" spans="2:8">
      <c r="B50" s="346" t="s">
        <v>894</v>
      </c>
      <c r="C50" s="353" t="s">
        <v>912</v>
      </c>
      <c r="D50" s="353"/>
      <c r="E50" s="375">
        <v>1</v>
      </c>
      <c r="F50" s="376">
        <v>750000</v>
      </c>
      <c r="G50" s="360">
        <v>750000</v>
      </c>
      <c r="H50" s="360">
        <f t="shared" si="0"/>
        <v>870000</v>
      </c>
    </row>
    <row r="51" spans="2:8">
      <c r="B51" s="346" t="s">
        <v>894</v>
      </c>
      <c r="C51" s="353" t="s">
        <v>913</v>
      </c>
      <c r="D51" s="353"/>
      <c r="E51" s="375">
        <v>1</v>
      </c>
      <c r="F51" s="376">
        <v>350000</v>
      </c>
      <c r="G51" s="360">
        <v>350000</v>
      </c>
      <c r="H51" s="360">
        <f t="shared" si="0"/>
        <v>406000</v>
      </c>
    </row>
    <row r="52" spans="2:8">
      <c r="B52" s="346" t="s">
        <v>894</v>
      </c>
      <c r="C52" s="353" t="s">
        <v>914</v>
      </c>
      <c r="D52" s="353"/>
      <c r="E52" s="375">
        <v>1</v>
      </c>
      <c r="F52" s="376">
        <v>350000</v>
      </c>
      <c r="G52" s="360">
        <v>350000</v>
      </c>
      <c r="H52" s="360">
        <f t="shared" si="0"/>
        <v>406000</v>
      </c>
    </row>
    <row r="53" spans="2:8">
      <c r="B53" s="346" t="s">
        <v>894</v>
      </c>
      <c r="C53" s="353" t="s">
        <v>915</v>
      </c>
      <c r="D53" s="353"/>
      <c r="E53" s="375">
        <v>1</v>
      </c>
      <c r="F53" s="376">
        <v>350000</v>
      </c>
      <c r="G53" s="360">
        <v>350000</v>
      </c>
      <c r="H53" s="360">
        <f t="shared" si="0"/>
        <v>406000</v>
      </c>
    </row>
    <row r="54" spans="2:8">
      <c r="B54" s="346" t="s">
        <v>894</v>
      </c>
      <c r="C54" s="370" t="s">
        <v>916</v>
      </c>
      <c r="D54" s="379" t="s">
        <v>898</v>
      </c>
      <c r="E54" s="380">
        <v>0.05</v>
      </c>
      <c r="F54" s="378">
        <v>181386787.59</v>
      </c>
      <c r="G54" s="374">
        <v>9069339.3795</v>
      </c>
      <c r="H54" s="374">
        <f t="shared" si="0"/>
        <v>10520433.68022</v>
      </c>
    </row>
    <row r="55" spans="2:8">
      <c r="B55" s="346" t="s">
        <v>894</v>
      </c>
      <c r="C55" s="366" t="s">
        <v>893</v>
      </c>
      <c r="D55" s="367"/>
      <c r="E55" s="368"/>
      <c r="F55" s="366"/>
      <c r="G55" s="369">
        <f>+G31+G45+G54</f>
        <v>243664880.1895</v>
      </c>
      <c r="H55" s="369">
        <f>+H31+H45+H54</f>
        <v>282651261.01982</v>
      </c>
    </row>
    <row r="56" spans="2:8">
      <c r="B56" s="350" t="s">
        <v>917</v>
      </c>
      <c r="C56" s="351"/>
      <c r="D56" s="352"/>
      <c r="E56" s="352"/>
      <c r="F56" s="352"/>
      <c r="G56" s="352"/>
      <c r="H56" s="353"/>
    </row>
    <row r="57" spans="2:8">
      <c r="B57" s="346" t="s">
        <v>918</v>
      </c>
      <c r="C57" s="370" t="s">
        <v>869</v>
      </c>
      <c r="D57" s="370"/>
      <c r="E57" s="370"/>
      <c r="F57" s="370"/>
      <c r="G57" s="374">
        <f>+SUM(G58:G61)</f>
        <v>108409601.5625</v>
      </c>
      <c r="H57" s="374">
        <f>+SUM(H58:H61)</f>
        <v>125755137.8125</v>
      </c>
    </row>
    <row r="58" spans="2:8">
      <c r="B58" s="346" t="s">
        <v>918</v>
      </c>
      <c r="C58" s="353" t="s">
        <v>872</v>
      </c>
      <c r="D58" s="353" t="s">
        <v>873</v>
      </c>
      <c r="E58" s="381">
        <v>1</v>
      </c>
      <c r="F58" s="360">
        <v>4750000</v>
      </c>
      <c r="G58" s="360">
        <v>4750000</v>
      </c>
      <c r="H58" s="360">
        <f t="shared" si="0"/>
        <v>5510000</v>
      </c>
    </row>
    <row r="59" spans="2:8">
      <c r="B59" s="346" t="s">
        <v>918</v>
      </c>
      <c r="C59" s="353" t="s">
        <v>874</v>
      </c>
      <c r="D59" s="353" t="s">
        <v>873</v>
      </c>
      <c r="E59" s="381">
        <v>1</v>
      </c>
      <c r="F59" s="360">
        <v>82927681.25</v>
      </c>
      <c r="G59" s="360">
        <v>82927681.25</v>
      </c>
      <c r="H59" s="360">
        <f t="shared" si="0"/>
        <v>96196110.25</v>
      </c>
    </row>
    <row r="60" spans="2:8">
      <c r="B60" s="346" t="s">
        <v>918</v>
      </c>
      <c r="C60" s="353" t="s">
        <v>919</v>
      </c>
      <c r="D60" s="353" t="s">
        <v>873</v>
      </c>
      <c r="E60" s="362">
        <v>0.1</v>
      </c>
      <c r="F60" s="360">
        <v>82927681.25</v>
      </c>
      <c r="G60" s="360">
        <v>8292768.125</v>
      </c>
      <c r="H60" s="360">
        <f t="shared" si="0"/>
        <v>9619611.025</v>
      </c>
    </row>
    <row r="61" spans="2:8">
      <c r="B61" s="346" t="s">
        <v>918</v>
      </c>
      <c r="C61" s="353" t="s">
        <v>876</v>
      </c>
      <c r="D61" s="353" t="s">
        <v>873</v>
      </c>
      <c r="E61" s="362">
        <v>0.15</v>
      </c>
      <c r="F61" s="360">
        <v>82927681.25</v>
      </c>
      <c r="G61" s="360">
        <v>12439152.1875</v>
      </c>
      <c r="H61" s="360">
        <f t="shared" si="0"/>
        <v>14429416.5375</v>
      </c>
    </row>
    <row r="62" spans="2:8">
      <c r="B62" s="346" t="s">
        <v>918</v>
      </c>
      <c r="C62" s="370" t="s">
        <v>877</v>
      </c>
      <c r="D62" s="370"/>
      <c r="E62" s="370"/>
      <c r="F62" s="370"/>
      <c r="G62" s="374">
        <f>+SUM(G63:G84)</f>
        <v>531622878</v>
      </c>
      <c r="H62" s="374">
        <f>+SUM(H63:H84)</f>
        <v>616682538.48</v>
      </c>
    </row>
    <row r="63" spans="2:8">
      <c r="B63" s="346" t="s">
        <v>918</v>
      </c>
      <c r="C63" s="353" t="s">
        <v>878</v>
      </c>
      <c r="D63" s="353" t="s">
        <v>879</v>
      </c>
      <c r="E63" s="381">
        <v>5</v>
      </c>
      <c r="F63" s="360">
        <v>350000</v>
      </c>
      <c r="G63" s="360">
        <v>1750000</v>
      </c>
      <c r="H63" s="360">
        <f t="shared" si="0"/>
        <v>2030000</v>
      </c>
    </row>
    <row r="64" spans="2:10">
      <c r="B64" s="346" t="s">
        <v>918</v>
      </c>
      <c r="C64" s="353" t="s">
        <v>920</v>
      </c>
      <c r="D64" s="353" t="s">
        <v>873</v>
      </c>
      <c r="E64" s="381">
        <v>1</v>
      </c>
      <c r="F64" s="360">
        <v>350015748</v>
      </c>
      <c r="G64" s="360">
        <v>350015748</v>
      </c>
      <c r="H64" s="360">
        <f t="shared" si="0"/>
        <v>406018267.68</v>
      </c>
      <c r="J64" s="323"/>
    </row>
    <row r="65" spans="2:10">
      <c r="B65" s="346" t="s">
        <v>918</v>
      </c>
      <c r="C65" s="353" t="s">
        <v>921</v>
      </c>
      <c r="D65" s="353" t="s">
        <v>873</v>
      </c>
      <c r="E65" s="381">
        <v>1</v>
      </c>
      <c r="F65" s="360">
        <v>121835370</v>
      </c>
      <c r="G65" s="360">
        <v>121835370</v>
      </c>
      <c r="H65" s="360">
        <f t="shared" si="0"/>
        <v>141329029.2</v>
      </c>
      <c r="J65" s="394"/>
    </row>
    <row r="66" spans="2:8">
      <c r="B66" s="346" t="s">
        <v>918</v>
      </c>
      <c r="C66" s="353" t="s">
        <v>922</v>
      </c>
      <c r="D66" s="353" t="s">
        <v>882</v>
      </c>
      <c r="E66" s="381">
        <v>1</v>
      </c>
      <c r="F66" s="360">
        <v>1750000</v>
      </c>
      <c r="G66" s="360">
        <v>1750000</v>
      </c>
      <c r="H66" s="360">
        <f t="shared" si="0"/>
        <v>2030000</v>
      </c>
    </row>
    <row r="67" spans="2:8">
      <c r="B67" s="346" t="s">
        <v>918</v>
      </c>
      <c r="C67" s="353" t="s">
        <v>883</v>
      </c>
      <c r="D67" s="353" t="s">
        <v>873</v>
      </c>
      <c r="E67" s="381">
        <v>0.8</v>
      </c>
      <c r="F67" s="360">
        <v>1750000</v>
      </c>
      <c r="G67" s="360">
        <v>1400000</v>
      </c>
      <c r="H67" s="360">
        <f t="shared" si="0"/>
        <v>1624000</v>
      </c>
    </row>
    <row r="68" spans="2:8">
      <c r="B68" s="346" t="s">
        <v>918</v>
      </c>
      <c r="C68" s="353" t="s">
        <v>884</v>
      </c>
      <c r="D68" s="353" t="s">
        <v>873</v>
      </c>
      <c r="E68" s="381">
        <v>1</v>
      </c>
      <c r="F68" s="360">
        <v>4500000</v>
      </c>
      <c r="G68" s="360">
        <v>4500000</v>
      </c>
      <c r="H68" s="360">
        <f t="shared" si="0"/>
        <v>5220000</v>
      </c>
    </row>
    <row r="69" spans="2:8">
      <c r="B69" s="346" t="s">
        <v>918</v>
      </c>
      <c r="C69" s="353" t="s">
        <v>923</v>
      </c>
      <c r="D69" s="353" t="s">
        <v>879</v>
      </c>
      <c r="E69" s="381">
        <v>3</v>
      </c>
      <c r="F69" s="360">
        <v>1250000</v>
      </c>
      <c r="G69" s="360">
        <v>3750000</v>
      </c>
      <c r="H69" s="360">
        <f t="shared" si="0"/>
        <v>4350000</v>
      </c>
    </row>
    <row r="70" spans="2:8">
      <c r="B70" s="346" t="s">
        <v>918</v>
      </c>
      <c r="C70" s="353" t="s">
        <v>885</v>
      </c>
      <c r="D70" s="353" t="s">
        <v>873</v>
      </c>
      <c r="E70" s="381">
        <v>1</v>
      </c>
      <c r="F70" s="360">
        <v>450000</v>
      </c>
      <c r="G70" s="360">
        <v>450000</v>
      </c>
      <c r="H70" s="360">
        <f t="shared" si="0"/>
        <v>522000</v>
      </c>
    </row>
    <row r="71" spans="2:8">
      <c r="B71" s="346" t="s">
        <v>918</v>
      </c>
      <c r="C71" s="353" t="s">
        <v>924</v>
      </c>
      <c r="D71" s="353" t="s">
        <v>879</v>
      </c>
      <c r="E71" s="381">
        <v>3</v>
      </c>
      <c r="F71" s="360">
        <v>3750000</v>
      </c>
      <c r="G71" s="360">
        <v>11250000</v>
      </c>
      <c r="H71" s="360">
        <f t="shared" si="0"/>
        <v>13050000</v>
      </c>
    </row>
    <row r="72" spans="2:8">
      <c r="B72" s="346" t="s">
        <v>918</v>
      </c>
      <c r="C72" s="353" t="s">
        <v>925</v>
      </c>
      <c r="D72" s="353" t="s">
        <v>879</v>
      </c>
      <c r="E72" s="381">
        <v>14</v>
      </c>
      <c r="F72" s="360">
        <v>138600</v>
      </c>
      <c r="G72" s="360">
        <v>1940400</v>
      </c>
      <c r="H72" s="360">
        <f t="shared" si="0"/>
        <v>2250864</v>
      </c>
    </row>
    <row r="73" spans="2:8">
      <c r="B73" s="346" t="s">
        <v>918</v>
      </c>
      <c r="C73" s="353" t="s">
        <v>926</v>
      </c>
      <c r="D73" s="353" t="s">
        <v>879</v>
      </c>
      <c r="E73" s="381">
        <v>1</v>
      </c>
      <c r="F73" s="360">
        <v>1127000</v>
      </c>
      <c r="G73" s="360">
        <v>1127000</v>
      </c>
      <c r="H73" s="360">
        <f t="shared" si="0"/>
        <v>1307320</v>
      </c>
    </row>
    <row r="74" spans="2:8">
      <c r="B74" s="346" t="s">
        <v>918</v>
      </c>
      <c r="C74" s="353" t="s">
        <v>927</v>
      </c>
      <c r="D74" s="353" t="s">
        <v>879</v>
      </c>
      <c r="E74" s="381">
        <v>4</v>
      </c>
      <c r="F74" s="360">
        <v>17640</v>
      </c>
      <c r="G74" s="360">
        <v>70560</v>
      </c>
      <c r="H74" s="360">
        <f t="shared" ref="H74:H100" si="1">+G74*1.16</f>
        <v>81849.6</v>
      </c>
    </row>
    <row r="75" spans="2:8">
      <c r="B75" s="346" t="s">
        <v>918</v>
      </c>
      <c r="C75" s="353" t="s">
        <v>928</v>
      </c>
      <c r="D75" s="353" t="s">
        <v>879</v>
      </c>
      <c r="E75" s="381">
        <v>2</v>
      </c>
      <c r="F75" s="360">
        <v>45000</v>
      </c>
      <c r="G75" s="360">
        <v>90000</v>
      </c>
      <c r="H75" s="360">
        <f t="shared" si="1"/>
        <v>104400</v>
      </c>
    </row>
    <row r="76" spans="2:8">
      <c r="B76" s="346" t="s">
        <v>918</v>
      </c>
      <c r="C76" s="353" t="s">
        <v>929</v>
      </c>
      <c r="D76" s="353" t="s">
        <v>879</v>
      </c>
      <c r="E76" s="381">
        <v>2</v>
      </c>
      <c r="F76" s="360">
        <v>10500</v>
      </c>
      <c r="G76" s="360">
        <v>21000</v>
      </c>
      <c r="H76" s="360">
        <f t="shared" si="1"/>
        <v>24360</v>
      </c>
    </row>
    <row r="77" spans="2:8">
      <c r="B77" s="346" t="s">
        <v>918</v>
      </c>
      <c r="C77" s="353" t="s">
        <v>930</v>
      </c>
      <c r="D77" s="353" t="s">
        <v>879</v>
      </c>
      <c r="E77" s="381">
        <v>4</v>
      </c>
      <c r="F77" s="360">
        <v>382200</v>
      </c>
      <c r="G77" s="360">
        <v>1528800</v>
      </c>
      <c r="H77" s="360">
        <f t="shared" si="1"/>
        <v>1773408</v>
      </c>
    </row>
    <row r="78" spans="2:8">
      <c r="B78" s="346" t="s">
        <v>918</v>
      </c>
      <c r="C78" s="353" t="s">
        <v>931</v>
      </c>
      <c r="D78" s="353" t="s">
        <v>879</v>
      </c>
      <c r="E78" s="381">
        <v>2</v>
      </c>
      <c r="F78" s="360">
        <v>639000</v>
      </c>
      <c r="G78" s="360">
        <v>1278000</v>
      </c>
      <c r="H78" s="360">
        <f t="shared" si="1"/>
        <v>1482480</v>
      </c>
    </row>
    <row r="79" spans="2:8">
      <c r="B79" s="346" t="s">
        <v>918</v>
      </c>
      <c r="C79" s="353" t="s">
        <v>932</v>
      </c>
      <c r="D79" s="353" t="s">
        <v>879</v>
      </c>
      <c r="E79" s="381">
        <v>2</v>
      </c>
      <c r="F79" s="360">
        <v>3940500</v>
      </c>
      <c r="G79" s="360">
        <v>7881000</v>
      </c>
      <c r="H79" s="360">
        <f t="shared" si="1"/>
        <v>9141960</v>
      </c>
    </row>
    <row r="80" spans="2:8">
      <c r="B80" s="346" t="s">
        <v>918</v>
      </c>
      <c r="C80" s="353" t="s">
        <v>933</v>
      </c>
      <c r="D80" s="353" t="s">
        <v>879</v>
      </c>
      <c r="E80" s="381">
        <v>2</v>
      </c>
      <c r="F80" s="360">
        <v>745500</v>
      </c>
      <c r="G80" s="360">
        <v>1491000</v>
      </c>
      <c r="H80" s="360">
        <f t="shared" si="1"/>
        <v>1729560</v>
      </c>
    </row>
    <row r="81" spans="2:8">
      <c r="B81" s="346" t="s">
        <v>918</v>
      </c>
      <c r="C81" s="353" t="s">
        <v>934</v>
      </c>
      <c r="D81" s="353" t="s">
        <v>879</v>
      </c>
      <c r="E81" s="381">
        <v>2</v>
      </c>
      <c r="F81" s="360">
        <v>426000</v>
      </c>
      <c r="G81" s="360">
        <v>852000</v>
      </c>
      <c r="H81" s="360">
        <f t="shared" si="1"/>
        <v>988320</v>
      </c>
    </row>
    <row r="82" spans="2:10">
      <c r="B82" s="346" t="s">
        <v>918</v>
      </c>
      <c r="C82" s="353" t="s">
        <v>935</v>
      </c>
      <c r="D82" s="353" t="s">
        <v>879</v>
      </c>
      <c r="E82" s="381">
        <v>4</v>
      </c>
      <c r="F82" s="360">
        <v>2556000</v>
      </c>
      <c r="G82" s="360">
        <v>10224000</v>
      </c>
      <c r="H82" s="360">
        <f t="shared" si="1"/>
        <v>11859840</v>
      </c>
      <c r="J82" s="395"/>
    </row>
    <row r="83" spans="2:8">
      <c r="B83" s="346" t="s">
        <v>918</v>
      </c>
      <c r="C83" s="353" t="s">
        <v>936</v>
      </c>
      <c r="D83" s="353" t="s">
        <v>873</v>
      </c>
      <c r="E83" s="362">
        <v>0.12</v>
      </c>
      <c r="F83" s="360">
        <v>7650000</v>
      </c>
      <c r="G83" s="360">
        <v>918000</v>
      </c>
      <c r="H83" s="360">
        <f t="shared" si="1"/>
        <v>1064880</v>
      </c>
    </row>
    <row r="84" spans="2:8">
      <c r="B84" s="346" t="s">
        <v>918</v>
      </c>
      <c r="C84" s="353" t="s">
        <v>937</v>
      </c>
      <c r="D84" s="353" t="s">
        <v>879</v>
      </c>
      <c r="E84" s="381">
        <v>1</v>
      </c>
      <c r="F84" s="360">
        <v>7500000</v>
      </c>
      <c r="G84" s="360">
        <v>7500000</v>
      </c>
      <c r="H84" s="360">
        <f t="shared" si="1"/>
        <v>8700000</v>
      </c>
    </row>
    <row r="85" spans="2:8">
      <c r="B85" s="346" t="s">
        <v>918</v>
      </c>
      <c r="C85" s="370" t="s">
        <v>892</v>
      </c>
      <c r="D85" s="370" t="s">
        <v>873</v>
      </c>
      <c r="E85" s="384">
        <v>0.03</v>
      </c>
      <c r="F85" s="374"/>
      <c r="G85" s="374">
        <f>+(G57+G62)*0.03</f>
        <v>19200974.386875</v>
      </c>
      <c r="H85" s="374">
        <f t="shared" si="1"/>
        <v>22273130.288775</v>
      </c>
    </row>
    <row r="86" spans="2:8">
      <c r="B86" s="346" t="s">
        <v>918</v>
      </c>
      <c r="C86" s="366" t="s">
        <v>893</v>
      </c>
      <c r="D86" s="367"/>
      <c r="E86" s="368"/>
      <c r="F86" s="366"/>
      <c r="G86" s="369">
        <f>+G57+G62+G85</f>
        <v>659233453.949375</v>
      </c>
      <c r="H86" s="369">
        <f>+H57+H62+H85</f>
        <v>764710806.581275</v>
      </c>
    </row>
    <row r="87" spans="2:8">
      <c r="B87" s="350" t="s">
        <v>938</v>
      </c>
      <c r="C87" s="351"/>
      <c r="D87" s="352"/>
      <c r="E87" s="352"/>
      <c r="F87" s="352"/>
      <c r="G87" s="352"/>
      <c r="H87" s="352"/>
    </row>
    <row r="88" spans="2:8">
      <c r="B88" s="346" t="s">
        <v>938</v>
      </c>
      <c r="C88" s="370" t="s">
        <v>869</v>
      </c>
      <c r="D88" s="374"/>
      <c r="E88" s="374"/>
      <c r="F88" s="374"/>
      <c r="G88" s="374">
        <f>+SUM(G89:G98)</f>
        <v>88080000</v>
      </c>
      <c r="H88" s="374">
        <f t="shared" si="1"/>
        <v>102172800</v>
      </c>
    </row>
    <row r="89" spans="2:8">
      <c r="B89" s="346" t="s">
        <v>938</v>
      </c>
      <c r="C89" s="353" t="s">
        <v>939</v>
      </c>
      <c r="D89" s="353" t="s">
        <v>940</v>
      </c>
      <c r="E89" s="385">
        <v>1</v>
      </c>
      <c r="F89" s="360">
        <v>375000</v>
      </c>
      <c r="G89" s="360">
        <v>375000</v>
      </c>
      <c r="H89" s="360">
        <f t="shared" si="1"/>
        <v>435000</v>
      </c>
    </row>
    <row r="90" spans="2:8">
      <c r="B90" s="346" t="s">
        <v>938</v>
      </c>
      <c r="C90" s="353" t="s">
        <v>941</v>
      </c>
      <c r="D90" s="353"/>
      <c r="E90" s="385"/>
      <c r="F90" s="360">
        <v>400</v>
      </c>
      <c r="G90" s="360">
        <v>70000000</v>
      </c>
      <c r="H90" s="360">
        <f t="shared" si="1"/>
        <v>81200000</v>
      </c>
    </row>
    <row r="91" spans="2:8">
      <c r="B91" s="346" t="s">
        <v>938</v>
      </c>
      <c r="C91" s="353" t="s">
        <v>942</v>
      </c>
      <c r="D91" s="353" t="s">
        <v>871</v>
      </c>
      <c r="E91" s="385">
        <v>175000</v>
      </c>
      <c r="F91" s="360">
        <v>30</v>
      </c>
      <c r="G91" s="360">
        <v>5250000</v>
      </c>
      <c r="H91" s="360">
        <f t="shared" si="1"/>
        <v>6090000</v>
      </c>
    </row>
    <row r="92" spans="2:8">
      <c r="B92" s="346" t="s">
        <v>938</v>
      </c>
      <c r="C92" s="353" t="s">
        <v>943</v>
      </c>
      <c r="D92" s="353" t="s">
        <v>944</v>
      </c>
      <c r="E92" s="385">
        <v>1300</v>
      </c>
      <c r="F92" s="360">
        <v>2500</v>
      </c>
      <c r="G92" s="360">
        <v>3250000</v>
      </c>
      <c r="H92" s="360">
        <f t="shared" si="1"/>
        <v>3770000</v>
      </c>
    </row>
    <row r="93" spans="2:8">
      <c r="B93" s="346" t="s">
        <v>938</v>
      </c>
      <c r="C93" s="353" t="s">
        <v>945</v>
      </c>
      <c r="D93" s="353" t="s">
        <v>946</v>
      </c>
      <c r="E93" s="385">
        <v>1</v>
      </c>
      <c r="F93" s="360">
        <v>4200000</v>
      </c>
      <c r="G93" s="360">
        <v>4200000</v>
      </c>
      <c r="H93" s="360">
        <f t="shared" si="1"/>
        <v>4872000</v>
      </c>
    </row>
    <row r="94" spans="2:8">
      <c r="B94" s="346" t="s">
        <v>938</v>
      </c>
      <c r="C94" s="353" t="s">
        <v>947</v>
      </c>
      <c r="D94" s="353" t="s">
        <v>879</v>
      </c>
      <c r="E94" s="385">
        <v>25</v>
      </c>
      <c r="F94" s="360">
        <v>125000</v>
      </c>
      <c r="G94" s="360">
        <v>3125000</v>
      </c>
      <c r="H94" s="360">
        <f t="shared" si="1"/>
        <v>3625000</v>
      </c>
    </row>
    <row r="95" spans="2:8">
      <c r="B95" s="346" t="s">
        <v>938</v>
      </c>
      <c r="C95" s="353" t="s">
        <v>948</v>
      </c>
      <c r="D95" s="353" t="s">
        <v>949</v>
      </c>
      <c r="E95" s="385">
        <v>10</v>
      </c>
      <c r="F95" s="360">
        <v>10000</v>
      </c>
      <c r="G95" s="360">
        <v>100000</v>
      </c>
      <c r="H95" s="360">
        <f t="shared" si="1"/>
        <v>116000</v>
      </c>
    </row>
    <row r="96" spans="2:8">
      <c r="B96" s="346" t="s">
        <v>938</v>
      </c>
      <c r="C96" s="353" t="s">
        <v>950</v>
      </c>
      <c r="D96" s="353" t="s">
        <v>951</v>
      </c>
      <c r="E96" s="385">
        <v>1</v>
      </c>
      <c r="F96" s="360">
        <v>15000</v>
      </c>
      <c r="G96" s="360">
        <v>15000</v>
      </c>
      <c r="H96" s="360">
        <f t="shared" si="1"/>
        <v>17400</v>
      </c>
    </row>
    <row r="97" spans="2:8">
      <c r="B97" s="346" t="s">
        <v>938</v>
      </c>
      <c r="C97" s="353" t="s">
        <v>952</v>
      </c>
      <c r="D97" s="353" t="s">
        <v>951</v>
      </c>
      <c r="E97" s="385">
        <v>1</v>
      </c>
      <c r="F97" s="360">
        <v>15000</v>
      </c>
      <c r="G97" s="360">
        <v>15000</v>
      </c>
      <c r="H97" s="360">
        <f t="shared" si="1"/>
        <v>17400</v>
      </c>
    </row>
    <row r="98" spans="2:8">
      <c r="B98" s="346" t="s">
        <v>938</v>
      </c>
      <c r="C98" s="353" t="s">
        <v>953</v>
      </c>
      <c r="D98" s="353" t="s">
        <v>873</v>
      </c>
      <c r="E98" s="385">
        <v>175000</v>
      </c>
      <c r="F98" s="360">
        <v>10</v>
      </c>
      <c r="G98" s="360">
        <v>1750000</v>
      </c>
      <c r="H98" s="360">
        <f t="shared" si="1"/>
        <v>2030000</v>
      </c>
    </row>
    <row r="99" spans="2:8">
      <c r="B99" s="346" t="s">
        <v>938</v>
      </c>
      <c r="C99" s="370" t="s">
        <v>954</v>
      </c>
      <c r="D99" s="370" t="s">
        <v>873</v>
      </c>
      <c r="E99" s="384">
        <v>0.05</v>
      </c>
      <c r="F99" s="386">
        <v>88080000</v>
      </c>
      <c r="G99" s="386">
        <v>4404000</v>
      </c>
      <c r="H99" s="386">
        <f t="shared" si="1"/>
        <v>5108640</v>
      </c>
    </row>
    <row r="100" spans="2:8">
      <c r="B100" s="346" t="s">
        <v>938</v>
      </c>
      <c r="C100" s="366" t="s">
        <v>893</v>
      </c>
      <c r="D100" s="367"/>
      <c r="E100" s="368"/>
      <c r="F100" s="366"/>
      <c r="G100" s="369">
        <f>+G99+G88</f>
        <v>92484000</v>
      </c>
      <c r="H100" s="369">
        <f t="shared" si="1"/>
        <v>107281440</v>
      </c>
    </row>
    <row r="101" spans="2:8">
      <c r="B101" s="350" t="s">
        <v>955</v>
      </c>
      <c r="C101" s="351"/>
      <c r="D101" s="353"/>
      <c r="E101" s="353"/>
      <c r="F101" s="353"/>
      <c r="G101" s="353"/>
      <c r="H101" s="353"/>
    </row>
    <row r="102" spans="2:8">
      <c r="B102" s="346" t="s">
        <v>956</v>
      </c>
      <c r="C102" s="353" t="s">
        <v>519</v>
      </c>
      <c r="D102" s="353" t="s">
        <v>873</v>
      </c>
      <c r="E102" s="353">
        <v>1</v>
      </c>
      <c r="F102" s="387">
        <v>56678528</v>
      </c>
      <c r="G102" s="387">
        <f>+E102*F102</f>
        <v>56678528</v>
      </c>
      <c r="H102" s="387">
        <f>+F102*1.16</f>
        <v>65747092.48</v>
      </c>
    </row>
    <row r="103" spans="2:8">
      <c r="B103" s="346" t="s">
        <v>956</v>
      </c>
      <c r="C103" s="388" t="s">
        <v>957</v>
      </c>
      <c r="D103" s="388" t="s">
        <v>873</v>
      </c>
      <c r="E103" s="388">
        <v>1</v>
      </c>
      <c r="F103" s="389">
        <f>+F102</f>
        <v>56678528</v>
      </c>
      <c r="G103" s="389">
        <f>+G102</f>
        <v>56678528</v>
      </c>
      <c r="H103" s="389">
        <f>+H102</f>
        <v>65747092.48</v>
      </c>
    </row>
    <row r="104" spans="2:8">
      <c r="B104" s="390" t="s">
        <v>958</v>
      </c>
      <c r="C104" s="390"/>
      <c r="D104" s="391"/>
      <c r="E104" s="391"/>
      <c r="F104" s="391"/>
      <c r="G104" s="392">
        <f>+G100+G86+G55+G29+G103</f>
        <v>1220645450.84687</v>
      </c>
      <c r="H104" s="392">
        <f>+H100+H86+H55+H29+H103</f>
        <v>1415948722.98237</v>
      </c>
    </row>
    <row r="105" spans="2:2">
      <c r="B105" t="s">
        <v>187</v>
      </c>
    </row>
    <row r="108" spans="8:8">
      <c r="H108" s="393"/>
    </row>
  </sheetData>
  <mergeCells count="8">
    <mergeCell ref="B2:Q2"/>
    <mergeCell ref="B4:Q4"/>
    <mergeCell ref="B8:C8"/>
    <mergeCell ref="B30:C30"/>
    <mergeCell ref="B56:C56"/>
    <mergeCell ref="B87:C87"/>
    <mergeCell ref="B101:C101"/>
    <mergeCell ref="B104:C104"/>
  </mergeCells>
  <pageMargins left="0.7" right="0.7"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499984740745262"/>
  </sheetPr>
  <dimension ref="A2:XFD24"/>
  <sheetViews>
    <sheetView workbookViewId="0">
      <selection activeCell="A22" sqref="A22"/>
    </sheetView>
  </sheetViews>
  <sheetFormatPr defaultColWidth="9.1047619047619" defaultRowHeight="15"/>
  <cols>
    <col min="1" max="1" width="25.3333333333333" customWidth="1"/>
    <col min="2" max="2" width="18.3333333333333" customWidth="1"/>
    <col min="3" max="3" width="16.3333333333333" customWidth="1"/>
    <col min="4" max="4" width="15.6666666666667" customWidth="1"/>
    <col min="5" max="5" width="14" customWidth="1"/>
    <col min="6" max="6" width="18.3333333333333" customWidth="1"/>
    <col min="7" max="10" width="14.8857142857143" customWidth="1"/>
    <col min="11" max="11" width="17" customWidth="1"/>
    <col min="12" max="12" width="14" customWidth="1"/>
    <col min="13" max="13" width="16.552380952381" customWidth="1"/>
    <col min="14" max="14" width="18.3333333333333" customWidth="1"/>
    <col min="15" max="15" width="18.1047619047619" customWidth="1"/>
    <col min="16" max="16" width="19" customWidth="1"/>
    <col min="17" max="17" width="18.6666666666667" customWidth="1"/>
    <col min="18" max="18" width="14.8857142857143" customWidth="1"/>
    <col min="19" max="28" width="17.552380952381" customWidth="1"/>
    <col min="29" max="29" width="14.4380952380952" customWidth="1"/>
  </cols>
  <sheetData>
    <row r="2" ht="21" spans="1:16384">
      <c r="A2" s="2" t="s">
        <v>0</v>
      </c>
      <c r="B2" s="2"/>
      <c r="C2" s="2"/>
      <c r="D2" s="2"/>
      <c r="E2" s="2"/>
      <c r="F2" s="2"/>
      <c r="G2" s="2"/>
      <c r="H2" s="2"/>
      <c r="I2" s="2"/>
      <c r="J2" s="2"/>
      <c r="K2" s="2"/>
      <c r="L2" s="2"/>
      <c r="M2" s="2"/>
      <c r="N2" s="2"/>
      <c r="O2" s="2"/>
      <c r="P2" s="2"/>
      <c r="Q2" s="2" t="s">
        <v>0</v>
      </c>
      <c r="R2" s="2"/>
      <c r="S2" s="2"/>
      <c r="T2" s="2"/>
      <c r="U2" s="2"/>
      <c r="V2" s="2"/>
      <c r="W2" s="2"/>
      <c r="X2" s="2"/>
      <c r="Y2" s="2"/>
      <c r="Z2" s="2"/>
      <c r="AA2" s="2"/>
      <c r="AB2" s="2"/>
      <c r="AC2" s="2"/>
      <c r="AD2" s="2"/>
      <c r="AE2" s="2"/>
      <c r="AF2" s="2"/>
      <c r="AG2" s="2" t="s">
        <v>0</v>
      </c>
      <c r="AH2" s="2"/>
      <c r="AI2" s="2"/>
      <c r="AJ2" s="2"/>
      <c r="AK2" s="2"/>
      <c r="AL2" s="2"/>
      <c r="AM2" s="2"/>
      <c r="AN2" s="2"/>
      <c r="AO2" s="2"/>
      <c r="AP2" s="2"/>
      <c r="AQ2" s="2"/>
      <c r="AR2" s="2"/>
      <c r="AS2" s="2"/>
      <c r="AT2" s="2"/>
      <c r="AU2" s="2"/>
      <c r="AV2" s="2"/>
      <c r="AW2" s="2" t="s">
        <v>0</v>
      </c>
      <c r="AX2" s="2"/>
      <c r="AY2" s="2"/>
      <c r="AZ2" s="2"/>
      <c r="BA2" s="2"/>
      <c r="BB2" s="2"/>
      <c r="BC2" s="2"/>
      <c r="BD2" s="2"/>
      <c r="BE2" s="2"/>
      <c r="BF2" s="2"/>
      <c r="BG2" s="2"/>
      <c r="BH2" s="2"/>
      <c r="BI2" s="2"/>
      <c r="BJ2" s="2"/>
      <c r="BK2" s="2"/>
      <c r="BL2" s="2"/>
      <c r="BM2" s="2" t="s">
        <v>0</v>
      </c>
      <c r="BN2" s="2"/>
      <c r="BO2" s="2"/>
      <c r="BP2" s="2"/>
      <c r="BQ2" s="2"/>
      <c r="BR2" s="2"/>
      <c r="BS2" s="2"/>
      <c r="BT2" s="2"/>
      <c r="BU2" s="2"/>
      <c r="BV2" s="2"/>
      <c r="BW2" s="2"/>
      <c r="BX2" s="2"/>
      <c r="BY2" s="2"/>
      <c r="BZ2" s="2"/>
      <c r="CA2" s="2"/>
      <c r="CB2" s="2"/>
      <c r="CC2" s="2" t="s">
        <v>0</v>
      </c>
      <c r="CD2" s="2"/>
      <c r="CE2" s="2"/>
      <c r="CF2" s="2"/>
      <c r="CG2" s="2"/>
      <c r="CH2" s="2"/>
      <c r="CI2" s="2"/>
      <c r="CJ2" s="2"/>
      <c r="CK2" s="2"/>
      <c r="CL2" s="2"/>
      <c r="CM2" s="2"/>
      <c r="CN2" s="2"/>
      <c r="CO2" s="2"/>
      <c r="CP2" s="2"/>
      <c r="CQ2" s="2"/>
      <c r="CR2" s="2"/>
      <c r="CS2" s="2" t="s">
        <v>0</v>
      </c>
      <c r="CT2" s="2"/>
      <c r="CU2" s="2"/>
      <c r="CV2" s="2"/>
      <c r="CW2" s="2"/>
      <c r="CX2" s="2"/>
      <c r="CY2" s="2"/>
      <c r="CZ2" s="2"/>
      <c r="DA2" s="2"/>
      <c r="DB2" s="2"/>
      <c r="DC2" s="2"/>
      <c r="DD2" s="2"/>
      <c r="DE2" s="2"/>
      <c r="DF2" s="2"/>
      <c r="DG2" s="2"/>
      <c r="DH2" s="2"/>
      <c r="DI2" s="2" t="s">
        <v>0</v>
      </c>
      <c r="DJ2" s="2"/>
      <c r="DK2" s="2"/>
      <c r="DL2" s="2"/>
      <c r="DM2" s="2"/>
      <c r="DN2" s="2"/>
      <c r="DO2" s="2"/>
      <c r="DP2" s="2"/>
      <c r="DQ2" s="2"/>
      <c r="DR2" s="2"/>
      <c r="DS2" s="2"/>
      <c r="DT2" s="2"/>
      <c r="DU2" s="2"/>
      <c r="DV2" s="2"/>
      <c r="DW2" s="2"/>
      <c r="DX2" s="2"/>
      <c r="DY2" s="2" t="s">
        <v>0</v>
      </c>
      <c r="DZ2" s="2"/>
      <c r="EA2" s="2"/>
      <c r="EB2" s="2"/>
      <c r="EC2" s="2"/>
      <c r="ED2" s="2"/>
      <c r="EE2" s="2"/>
      <c r="EF2" s="2"/>
      <c r="EG2" s="2"/>
      <c r="EH2" s="2"/>
      <c r="EI2" s="2"/>
      <c r="EJ2" s="2"/>
      <c r="EK2" s="2"/>
      <c r="EL2" s="2"/>
      <c r="EM2" s="2"/>
      <c r="EN2" s="2"/>
      <c r="EO2" s="2" t="s">
        <v>0</v>
      </c>
      <c r="EP2" s="2"/>
      <c r="EQ2" s="2"/>
      <c r="ER2" s="2"/>
      <c r="ES2" s="2"/>
      <c r="ET2" s="2"/>
      <c r="EU2" s="2"/>
      <c r="EV2" s="2"/>
      <c r="EW2" s="2"/>
      <c r="EX2" s="2"/>
      <c r="EY2" s="2"/>
      <c r="EZ2" s="2"/>
      <c r="FA2" s="2"/>
      <c r="FB2" s="2"/>
      <c r="FC2" s="2"/>
      <c r="FD2" s="2"/>
      <c r="FE2" s="2" t="s">
        <v>0</v>
      </c>
      <c r="FF2" s="2"/>
      <c r="FG2" s="2"/>
      <c r="FH2" s="2"/>
      <c r="FI2" s="2"/>
      <c r="FJ2" s="2"/>
      <c r="FK2" s="2"/>
      <c r="FL2" s="2"/>
      <c r="FM2" s="2"/>
      <c r="FN2" s="2"/>
      <c r="FO2" s="2"/>
      <c r="FP2" s="2"/>
      <c r="FQ2" s="2"/>
      <c r="FR2" s="2"/>
      <c r="FS2" s="2"/>
      <c r="FT2" s="2"/>
      <c r="FU2" s="2" t="s">
        <v>0</v>
      </c>
      <c r="FV2" s="2"/>
      <c r="FW2" s="2"/>
      <c r="FX2" s="2"/>
      <c r="FY2" s="2"/>
      <c r="FZ2" s="2"/>
      <c r="GA2" s="2"/>
      <c r="GB2" s="2"/>
      <c r="GC2" s="2"/>
      <c r="GD2" s="2"/>
      <c r="GE2" s="2"/>
      <c r="GF2" s="2"/>
      <c r="GG2" s="2"/>
      <c r="GH2" s="2"/>
      <c r="GI2" s="2"/>
      <c r="GJ2" s="2"/>
      <c r="GK2" s="2" t="s">
        <v>0</v>
      </c>
      <c r="GL2" s="2"/>
      <c r="GM2" s="2"/>
      <c r="GN2" s="2"/>
      <c r="GO2" s="2"/>
      <c r="GP2" s="2"/>
      <c r="GQ2" s="2"/>
      <c r="GR2" s="2"/>
      <c r="GS2" s="2"/>
      <c r="GT2" s="2"/>
      <c r="GU2" s="2"/>
      <c r="GV2" s="2"/>
      <c r="GW2" s="2"/>
      <c r="GX2" s="2"/>
      <c r="GY2" s="2"/>
      <c r="GZ2" s="2"/>
      <c r="HA2" s="2" t="s">
        <v>0</v>
      </c>
      <c r="HB2" s="2"/>
      <c r="HC2" s="2"/>
      <c r="HD2" s="2"/>
      <c r="HE2" s="2"/>
      <c r="HF2" s="2"/>
      <c r="HG2" s="2"/>
      <c r="HH2" s="2"/>
      <c r="HI2" s="2"/>
      <c r="HJ2" s="2"/>
      <c r="HK2" s="2"/>
      <c r="HL2" s="2"/>
      <c r="HM2" s="2"/>
      <c r="HN2" s="2"/>
      <c r="HO2" s="2"/>
      <c r="HP2" s="2"/>
      <c r="HQ2" s="2" t="s">
        <v>0</v>
      </c>
      <c r="HR2" s="2"/>
      <c r="HS2" s="2"/>
      <c r="HT2" s="2"/>
      <c r="HU2" s="2"/>
      <c r="HV2" s="2"/>
      <c r="HW2" s="2"/>
      <c r="HX2" s="2"/>
      <c r="HY2" s="2"/>
      <c r="HZ2" s="2"/>
      <c r="IA2" s="2"/>
      <c r="IB2" s="2"/>
      <c r="IC2" s="2"/>
      <c r="ID2" s="2"/>
      <c r="IE2" s="2"/>
      <c r="IF2" s="2"/>
      <c r="IG2" s="2" t="s">
        <v>0</v>
      </c>
      <c r="IH2" s="2"/>
      <c r="II2" s="2"/>
      <c r="IJ2" s="2"/>
      <c r="IK2" s="2"/>
      <c r="IL2" s="2"/>
      <c r="IM2" s="2"/>
      <c r="IN2" s="2"/>
      <c r="IO2" s="2"/>
      <c r="IP2" s="2"/>
      <c r="IQ2" s="2"/>
      <c r="IR2" s="2"/>
      <c r="IS2" s="2"/>
      <c r="IT2" s="2"/>
      <c r="IU2" s="2"/>
      <c r="IV2" s="2"/>
      <c r="IW2" s="2" t="s">
        <v>0</v>
      </c>
      <c r="IX2" s="2"/>
      <c r="IY2" s="2"/>
      <c r="IZ2" s="2"/>
      <c r="JA2" s="2"/>
      <c r="JB2" s="2"/>
      <c r="JC2" s="2"/>
      <c r="JD2" s="2"/>
      <c r="JE2" s="2"/>
      <c r="JF2" s="2"/>
      <c r="JG2" s="2"/>
      <c r="JH2" s="2"/>
      <c r="JI2" s="2"/>
      <c r="JJ2" s="2"/>
      <c r="JK2" s="2"/>
      <c r="JL2" s="2"/>
      <c r="JM2" s="2" t="s">
        <v>0</v>
      </c>
      <c r="JN2" s="2"/>
      <c r="JO2" s="2"/>
      <c r="JP2" s="2"/>
      <c r="JQ2" s="2"/>
      <c r="JR2" s="2"/>
      <c r="JS2" s="2"/>
      <c r="JT2" s="2"/>
      <c r="JU2" s="2"/>
      <c r="JV2" s="2"/>
      <c r="JW2" s="2"/>
      <c r="JX2" s="2"/>
      <c r="JY2" s="2"/>
      <c r="JZ2" s="2"/>
      <c r="KA2" s="2"/>
      <c r="KB2" s="2"/>
      <c r="KC2" s="2" t="s">
        <v>0</v>
      </c>
      <c r="KD2" s="2"/>
      <c r="KE2" s="2"/>
      <c r="KF2" s="2"/>
      <c r="KG2" s="2"/>
      <c r="KH2" s="2"/>
      <c r="KI2" s="2"/>
      <c r="KJ2" s="2"/>
      <c r="KK2" s="2"/>
      <c r="KL2" s="2"/>
      <c r="KM2" s="2"/>
      <c r="KN2" s="2"/>
      <c r="KO2" s="2"/>
      <c r="KP2" s="2"/>
      <c r="KQ2" s="2"/>
      <c r="KR2" s="2"/>
      <c r="KS2" s="2" t="s">
        <v>0</v>
      </c>
      <c r="KT2" s="2"/>
      <c r="KU2" s="2"/>
      <c r="KV2" s="2"/>
      <c r="KW2" s="2"/>
      <c r="KX2" s="2"/>
      <c r="KY2" s="2"/>
      <c r="KZ2" s="2"/>
      <c r="LA2" s="2"/>
      <c r="LB2" s="2"/>
      <c r="LC2" s="2"/>
      <c r="LD2" s="2"/>
      <c r="LE2" s="2"/>
      <c r="LF2" s="2"/>
      <c r="LG2" s="2"/>
      <c r="LH2" s="2"/>
      <c r="LI2" s="2" t="s">
        <v>0</v>
      </c>
      <c r="LJ2" s="2"/>
      <c r="LK2" s="2"/>
      <c r="LL2" s="2"/>
      <c r="LM2" s="2"/>
      <c r="LN2" s="2"/>
      <c r="LO2" s="2"/>
      <c r="LP2" s="2"/>
      <c r="LQ2" s="2"/>
      <c r="LR2" s="2"/>
      <c r="LS2" s="2"/>
      <c r="LT2" s="2"/>
      <c r="LU2" s="2"/>
      <c r="LV2" s="2"/>
      <c r="LW2" s="2"/>
      <c r="LX2" s="2"/>
      <c r="LY2" s="2" t="s">
        <v>0</v>
      </c>
      <c r="LZ2" s="2"/>
      <c r="MA2" s="2"/>
      <c r="MB2" s="2"/>
      <c r="MC2" s="2"/>
      <c r="MD2" s="2"/>
      <c r="ME2" s="2"/>
      <c r="MF2" s="2"/>
      <c r="MG2" s="2"/>
      <c r="MH2" s="2"/>
      <c r="MI2" s="2"/>
      <c r="MJ2" s="2"/>
      <c r="MK2" s="2"/>
      <c r="ML2" s="2"/>
      <c r="MM2" s="2"/>
      <c r="MN2" s="2"/>
      <c r="MO2" s="2" t="s">
        <v>0</v>
      </c>
      <c r="MP2" s="2"/>
      <c r="MQ2" s="2"/>
      <c r="MR2" s="2"/>
      <c r="MS2" s="2"/>
      <c r="MT2" s="2"/>
      <c r="MU2" s="2"/>
      <c r="MV2" s="2"/>
      <c r="MW2" s="2"/>
      <c r="MX2" s="2"/>
      <c r="MY2" s="2"/>
      <c r="MZ2" s="2"/>
      <c r="NA2" s="2"/>
      <c r="NB2" s="2"/>
      <c r="NC2" s="2"/>
      <c r="ND2" s="2"/>
      <c r="NE2" s="2" t="s">
        <v>0</v>
      </c>
      <c r="NF2" s="2"/>
      <c r="NG2" s="2"/>
      <c r="NH2" s="2"/>
      <c r="NI2" s="2"/>
      <c r="NJ2" s="2"/>
      <c r="NK2" s="2"/>
      <c r="NL2" s="2"/>
      <c r="NM2" s="2"/>
      <c r="NN2" s="2"/>
      <c r="NO2" s="2"/>
      <c r="NP2" s="2"/>
      <c r="NQ2" s="2"/>
      <c r="NR2" s="2"/>
      <c r="NS2" s="2"/>
      <c r="NT2" s="2"/>
      <c r="NU2" s="2" t="s">
        <v>0</v>
      </c>
      <c r="NV2" s="2"/>
      <c r="NW2" s="2"/>
      <c r="NX2" s="2"/>
      <c r="NY2" s="2"/>
      <c r="NZ2" s="2"/>
      <c r="OA2" s="2"/>
      <c r="OB2" s="2"/>
      <c r="OC2" s="2"/>
      <c r="OD2" s="2"/>
      <c r="OE2" s="2"/>
      <c r="OF2" s="2"/>
      <c r="OG2" s="2"/>
      <c r="OH2" s="2"/>
      <c r="OI2" s="2"/>
      <c r="OJ2" s="2"/>
      <c r="OK2" s="2" t="s">
        <v>0</v>
      </c>
      <c r="OL2" s="2"/>
      <c r="OM2" s="2"/>
      <c r="ON2" s="2"/>
      <c r="OO2" s="2"/>
      <c r="OP2" s="2"/>
      <c r="OQ2" s="2"/>
      <c r="OR2" s="2"/>
      <c r="OS2" s="2"/>
      <c r="OT2" s="2"/>
      <c r="OU2" s="2"/>
      <c r="OV2" s="2"/>
      <c r="OW2" s="2"/>
      <c r="OX2" s="2"/>
      <c r="OY2" s="2"/>
      <c r="OZ2" s="2"/>
      <c r="PA2" s="2" t="s">
        <v>0</v>
      </c>
      <c r="PB2" s="2"/>
      <c r="PC2" s="2"/>
      <c r="PD2" s="2"/>
      <c r="PE2" s="2"/>
      <c r="PF2" s="2"/>
      <c r="PG2" s="2"/>
      <c r="PH2" s="2"/>
      <c r="PI2" s="2"/>
      <c r="PJ2" s="2"/>
      <c r="PK2" s="2"/>
      <c r="PL2" s="2"/>
      <c r="PM2" s="2"/>
      <c r="PN2" s="2"/>
      <c r="PO2" s="2"/>
      <c r="PP2" s="2"/>
      <c r="PQ2" s="2" t="s">
        <v>0</v>
      </c>
      <c r="PR2" s="2"/>
      <c r="PS2" s="2"/>
      <c r="PT2" s="2"/>
      <c r="PU2" s="2"/>
      <c r="PV2" s="2"/>
      <c r="PW2" s="2"/>
      <c r="PX2" s="2"/>
      <c r="PY2" s="2"/>
      <c r="PZ2" s="2"/>
      <c r="QA2" s="2"/>
      <c r="QB2" s="2"/>
      <c r="QC2" s="2"/>
      <c r="QD2" s="2"/>
      <c r="QE2" s="2"/>
      <c r="QF2" s="2"/>
      <c r="QG2" s="2" t="s">
        <v>0</v>
      </c>
      <c r="QH2" s="2"/>
      <c r="QI2" s="2"/>
      <c r="QJ2" s="2"/>
      <c r="QK2" s="2"/>
      <c r="QL2" s="2"/>
      <c r="QM2" s="2"/>
      <c r="QN2" s="2"/>
      <c r="QO2" s="2"/>
      <c r="QP2" s="2"/>
      <c r="QQ2" s="2"/>
      <c r="QR2" s="2"/>
      <c r="QS2" s="2"/>
      <c r="QT2" s="2"/>
      <c r="QU2" s="2"/>
      <c r="QV2" s="2"/>
      <c r="QW2" s="2" t="s">
        <v>0</v>
      </c>
      <c r="QX2" s="2"/>
      <c r="QY2" s="2"/>
      <c r="QZ2" s="2"/>
      <c r="RA2" s="2"/>
      <c r="RB2" s="2"/>
      <c r="RC2" s="2"/>
      <c r="RD2" s="2"/>
      <c r="RE2" s="2"/>
      <c r="RF2" s="2"/>
      <c r="RG2" s="2"/>
      <c r="RH2" s="2"/>
      <c r="RI2" s="2"/>
      <c r="RJ2" s="2"/>
      <c r="RK2" s="2"/>
      <c r="RL2" s="2"/>
      <c r="RM2" s="2" t="s">
        <v>0</v>
      </c>
      <c r="RN2" s="2"/>
      <c r="RO2" s="2"/>
      <c r="RP2" s="2"/>
      <c r="RQ2" s="2"/>
      <c r="RR2" s="2"/>
      <c r="RS2" s="2"/>
      <c r="RT2" s="2"/>
      <c r="RU2" s="2"/>
      <c r="RV2" s="2"/>
      <c r="RW2" s="2"/>
      <c r="RX2" s="2"/>
      <c r="RY2" s="2"/>
      <c r="RZ2" s="2"/>
      <c r="SA2" s="2"/>
      <c r="SB2" s="2"/>
      <c r="SC2" s="2" t="s">
        <v>0</v>
      </c>
      <c r="SD2" s="2"/>
      <c r="SE2" s="2"/>
      <c r="SF2" s="2"/>
      <c r="SG2" s="2"/>
      <c r="SH2" s="2"/>
      <c r="SI2" s="2"/>
      <c r="SJ2" s="2"/>
      <c r="SK2" s="2"/>
      <c r="SL2" s="2"/>
      <c r="SM2" s="2"/>
      <c r="SN2" s="2"/>
      <c r="SO2" s="2"/>
      <c r="SP2" s="2"/>
      <c r="SQ2" s="2"/>
      <c r="SR2" s="2"/>
      <c r="SS2" s="2" t="s">
        <v>0</v>
      </c>
      <c r="ST2" s="2"/>
      <c r="SU2" s="2"/>
      <c r="SV2" s="2"/>
      <c r="SW2" s="2"/>
      <c r="SX2" s="2"/>
      <c r="SY2" s="2"/>
      <c r="SZ2" s="2"/>
      <c r="TA2" s="2"/>
      <c r="TB2" s="2"/>
      <c r="TC2" s="2"/>
      <c r="TD2" s="2"/>
      <c r="TE2" s="2"/>
      <c r="TF2" s="2"/>
      <c r="TG2" s="2"/>
      <c r="TH2" s="2"/>
      <c r="TI2" s="2" t="s">
        <v>0</v>
      </c>
      <c r="TJ2" s="2"/>
      <c r="TK2" s="2"/>
      <c r="TL2" s="2"/>
      <c r="TM2" s="2"/>
      <c r="TN2" s="2"/>
      <c r="TO2" s="2"/>
      <c r="TP2" s="2"/>
      <c r="TQ2" s="2"/>
      <c r="TR2" s="2"/>
      <c r="TS2" s="2"/>
      <c r="TT2" s="2"/>
      <c r="TU2" s="2"/>
      <c r="TV2" s="2"/>
      <c r="TW2" s="2"/>
      <c r="TX2" s="2"/>
      <c r="TY2" s="2" t="s">
        <v>0</v>
      </c>
      <c r="TZ2" s="2"/>
      <c r="UA2" s="2"/>
      <c r="UB2" s="2"/>
      <c r="UC2" s="2"/>
      <c r="UD2" s="2"/>
      <c r="UE2" s="2"/>
      <c r="UF2" s="2"/>
      <c r="UG2" s="2"/>
      <c r="UH2" s="2"/>
      <c r="UI2" s="2"/>
      <c r="UJ2" s="2"/>
      <c r="UK2" s="2"/>
      <c r="UL2" s="2"/>
      <c r="UM2" s="2"/>
      <c r="UN2" s="2"/>
      <c r="UO2" s="2" t="s">
        <v>0</v>
      </c>
      <c r="UP2" s="2"/>
      <c r="UQ2" s="2"/>
      <c r="UR2" s="2"/>
      <c r="US2" s="2"/>
      <c r="UT2" s="2"/>
      <c r="UU2" s="2"/>
      <c r="UV2" s="2"/>
      <c r="UW2" s="2"/>
      <c r="UX2" s="2"/>
      <c r="UY2" s="2"/>
      <c r="UZ2" s="2"/>
      <c r="VA2" s="2"/>
      <c r="VB2" s="2"/>
      <c r="VC2" s="2"/>
      <c r="VD2" s="2"/>
      <c r="VE2" s="2" t="s">
        <v>0</v>
      </c>
      <c r="VF2" s="2"/>
      <c r="VG2" s="2"/>
      <c r="VH2" s="2"/>
      <c r="VI2" s="2"/>
      <c r="VJ2" s="2"/>
      <c r="VK2" s="2"/>
      <c r="VL2" s="2"/>
      <c r="VM2" s="2"/>
      <c r="VN2" s="2"/>
      <c r="VO2" s="2"/>
      <c r="VP2" s="2"/>
      <c r="VQ2" s="2"/>
      <c r="VR2" s="2"/>
      <c r="VS2" s="2"/>
      <c r="VT2" s="2"/>
      <c r="VU2" s="2" t="s">
        <v>0</v>
      </c>
      <c r="VV2" s="2"/>
      <c r="VW2" s="2"/>
      <c r="VX2" s="2"/>
      <c r="VY2" s="2"/>
      <c r="VZ2" s="2"/>
      <c r="WA2" s="2"/>
      <c r="WB2" s="2"/>
      <c r="WC2" s="2"/>
      <c r="WD2" s="2"/>
      <c r="WE2" s="2"/>
      <c r="WF2" s="2"/>
      <c r="WG2" s="2"/>
      <c r="WH2" s="2"/>
      <c r="WI2" s="2"/>
      <c r="WJ2" s="2"/>
      <c r="WK2" s="2" t="s">
        <v>0</v>
      </c>
      <c r="WL2" s="2"/>
      <c r="WM2" s="2"/>
      <c r="WN2" s="2"/>
      <c r="WO2" s="2"/>
      <c r="WP2" s="2"/>
      <c r="WQ2" s="2"/>
      <c r="WR2" s="2"/>
      <c r="WS2" s="2"/>
      <c r="WT2" s="2"/>
      <c r="WU2" s="2"/>
      <c r="WV2" s="2"/>
      <c r="WW2" s="2"/>
      <c r="WX2" s="2"/>
      <c r="WY2" s="2"/>
      <c r="WZ2" s="2"/>
      <c r="XA2" s="2" t="s">
        <v>0</v>
      </c>
      <c r="XB2" s="2"/>
      <c r="XC2" s="2"/>
      <c r="XD2" s="2"/>
      <c r="XE2" s="2"/>
      <c r="XF2" s="2"/>
      <c r="XG2" s="2"/>
      <c r="XH2" s="2"/>
      <c r="XI2" s="2"/>
      <c r="XJ2" s="2"/>
      <c r="XK2" s="2"/>
      <c r="XL2" s="2"/>
      <c r="XM2" s="2"/>
      <c r="XN2" s="2"/>
      <c r="XO2" s="2"/>
      <c r="XP2" s="2"/>
      <c r="XQ2" s="2" t="s">
        <v>0</v>
      </c>
      <c r="XR2" s="2"/>
      <c r="XS2" s="2"/>
      <c r="XT2" s="2"/>
      <c r="XU2" s="2"/>
      <c r="XV2" s="2"/>
      <c r="XW2" s="2"/>
      <c r="XX2" s="2"/>
      <c r="XY2" s="2"/>
      <c r="XZ2" s="2"/>
      <c r="YA2" s="2"/>
      <c r="YB2" s="2"/>
      <c r="YC2" s="2"/>
      <c r="YD2" s="2"/>
      <c r="YE2" s="2"/>
      <c r="YF2" s="2"/>
      <c r="YG2" s="2" t="s">
        <v>0</v>
      </c>
      <c r="YH2" s="2"/>
      <c r="YI2" s="2"/>
      <c r="YJ2" s="2"/>
      <c r="YK2" s="2"/>
      <c r="YL2" s="2"/>
      <c r="YM2" s="2"/>
      <c r="YN2" s="2"/>
      <c r="YO2" s="2"/>
      <c r="YP2" s="2"/>
      <c r="YQ2" s="2"/>
      <c r="YR2" s="2"/>
      <c r="YS2" s="2"/>
      <c r="YT2" s="2"/>
      <c r="YU2" s="2"/>
      <c r="YV2" s="2"/>
      <c r="YW2" s="2" t="s">
        <v>0</v>
      </c>
      <c r="YX2" s="2"/>
      <c r="YY2" s="2"/>
      <c r="YZ2" s="2"/>
      <c r="ZA2" s="2"/>
      <c r="ZB2" s="2"/>
      <c r="ZC2" s="2"/>
      <c r="ZD2" s="2"/>
      <c r="ZE2" s="2"/>
      <c r="ZF2" s="2"/>
      <c r="ZG2" s="2"/>
      <c r="ZH2" s="2"/>
      <c r="ZI2" s="2"/>
      <c r="ZJ2" s="2"/>
      <c r="ZK2" s="2"/>
      <c r="ZL2" s="2"/>
      <c r="ZM2" s="2" t="s">
        <v>0</v>
      </c>
      <c r="ZN2" s="2"/>
      <c r="ZO2" s="2"/>
      <c r="ZP2" s="2"/>
      <c r="ZQ2" s="2"/>
      <c r="ZR2" s="2"/>
      <c r="ZS2" s="2"/>
      <c r="ZT2" s="2"/>
      <c r="ZU2" s="2"/>
      <c r="ZV2" s="2"/>
      <c r="ZW2" s="2"/>
      <c r="ZX2" s="2"/>
      <c r="ZY2" s="2"/>
      <c r="ZZ2" s="2"/>
      <c r="AAA2" s="2"/>
      <c r="AAB2" s="2"/>
      <c r="AAC2" s="2" t="s">
        <v>0</v>
      </c>
      <c r="AAD2" s="2"/>
      <c r="AAE2" s="2"/>
      <c r="AAF2" s="2"/>
      <c r="AAG2" s="2"/>
      <c r="AAH2" s="2"/>
      <c r="AAI2" s="2"/>
      <c r="AAJ2" s="2"/>
      <c r="AAK2" s="2"/>
      <c r="AAL2" s="2"/>
      <c r="AAM2" s="2"/>
      <c r="AAN2" s="2"/>
      <c r="AAO2" s="2"/>
      <c r="AAP2" s="2"/>
      <c r="AAQ2" s="2"/>
      <c r="AAR2" s="2"/>
      <c r="AAS2" s="2" t="s">
        <v>0</v>
      </c>
      <c r="AAT2" s="2"/>
      <c r="AAU2" s="2"/>
      <c r="AAV2" s="2"/>
      <c r="AAW2" s="2"/>
      <c r="AAX2" s="2"/>
      <c r="AAY2" s="2"/>
      <c r="AAZ2" s="2"/>
      <c r="ABA2" s="2"/>
      <c r="ABB2" s="2"/>
      <c r="ABC2" s="2"/>
      <c r="ABD2" s="2"/>
      <c r="ABE2" s="2"/>
      <c r="ABF2" s="2"/>
      <c r="ABG2" s="2"/>
      <c r="ABH2" s="2"/>
      <c r="ABI2" s="2" t="s">
        <v>0</v>
      </c>
      <c r="ABJ2" s="2"/>
      <c r="ABK2" s="2"/>
      <c r="ABL2" s="2"/>
      <c r="ABM2" s="2"/>
      <c r="ABN2" s="2"/>
      <c r="ABO2" s="2"/>
      <c r="ABP2" s="2"/>
      <c r="ABQ2" s="2"/>
      <c r="ABR2" s="2"/>
      <c r="ABS2" s="2"/>
      <c r="ABT2" s="2"/>
      <c r="ABU2" s="2"/>
      <c r="ABV2" s="2"/>
      <c r="ABW2" s="2"/>
      <c r="ABX2" s="2"/>
      <c r="ABY2" s="2" t="s">
        <v>0</v>
      </c>
      <c r="ABZ2" s="2"/>
      <c r="ACA2" s="2"/>
      <c r="ACB2" s="2"/>
      <c r="ACC2" s="2"/>
      <c r="ACD2" s="2"/>
      <c r="ACE2" s="2"/>
      <c r="ACF2" s="2"/>
      <c r="ACG2" s="2"/>
      <c r="ACH2" s="2"/>
      <c r="ACI2" s="2"/>
      <c r="ACJ2" s="2"/>
      <c r="ACK2" s="2"/>
      <c r="ACL2" s="2"/>
      <c r="ACM2" s="2"/>
      <c r="ACN2" s="2"/>
      <c r="ACO2" s="2" t="s">
        <v>0</v>
      </c>
      <c r="ACP2" s="2"/>
      <c r="ACQ2" s="2"/>
      <c r="ACR2" s="2"/>
      <c r="ACS2" s="2"/>
      <c r="ACT2" s="2"/>
      <c r="ACU2" s="2"/>
      <c r="ACV2" s="2"/>
      <c r="ACW2" s="2"/>
      <c r="ACX2" s="2"/>
      <c r="ACY2" s="2"/>
      <c r="ACZ2" s="2"/>
      <c r="ADA2" s="2"/>
      <c r="ADB2" s="2"/>
      <c r="ADC2" s="2"/>
      <c r="ADD2" s="2"/>
      <c r="ADE2" s="2" t="s">
        <v>0</v>
      </c>
      <c r="ADF2" s="2"/>
      <c r="ADG2" s="2"/>
      <c r="ADH2" s="2"/>
      <c r="ADI2" s="2"/>
      <c r="ADJ2" s="2"/>
      <c r="ADK2" s="2"/>
      <c r="ADL2" s="2"/>
      <c r="ADM2" s="2"/>
      <c r="ADN2" s="2"/>
      <c r="ADO2" s="2"/>
      <c r="ADP2" s="2"/>
      <c r="ADQ2" s="2"/>
      <c r="ADR2" s="2"/>
      <c r="ADS2" s="2"/>
      <c r="ADT2" s="2"/>
      <c r="ADU2" s="2" t="s">
        <v>0</v>
      </c>
      <c r="ADV2" s="2"/>
      <c r="ADW2" s="2"/>
      <c r="ADX2" s="2"/>
      <c r="ADY2" s="2"/>
      <c r="ADZ2" s="2"/>
      <c r="AEA2" s="2"/>
      <c r="AEB2" s="2"/>
      <c r="AEC2" s="2"/>
      <c r="AED2" s="2"/>
      <c r="AEE2" s="2"/>
      <c r="AEF2" s="2"/>
      <c r="AEG2" s="2"/>
      <c r="AEH2" s="2"/>
      <c r="AEI2" s="2"/>
      <c r="AEJ2" s="2"/>
      <c r="AEK2" s="2" t="s">
        <v>0</v>
      </c>
      <c r="AEL2" s="2"/>
      <c r="AEM2" s="2"/>
      <c r="AEN2" s="2"/>
      <c r="AEO2" s="2"/>
      <c r="AEP2" s="2"/>
      <c r="AEQ2" s="2"/>
      <c r="AER2" s="2"/>
      <c r="AES2" s="2"/>
      <c r="AET2" s="2"/>
      <c r="AEU2" s="2"/>
      <c r="AEV2" s="2"/>
      <c r="AEW2" s="2"/>
      <c r="AEX2" s="2"/>
      <c r="AEY2" s="2"/>
      <c r="AEZ2" s="2"/>
      <c r="AFA2" s="2" t="s">
        <v>0</v>
      </c>
      <c r="AFB2" s="2"/>
      <c r="AFC2" s="2"/>
      <c r="AFD2" s="2"/>
      <c r="AFE2" s="2"/>
      <c r="AFF2" s="2"/>
      <c r="AFG2" s="2"/>
      <c r="AFH2" s="2"/>
      <c r="AFI2" s="2"/>
      <c r="AFJ2" s="2"/>
      <c r="AFK2" s="2"/>
      <c r="AFL2" s="2"/>
      <c r="AFM2" s="2"/>
      <c r="AFN2" s="2"/>
      <c r="AFO2" s="2"/>
      <c r="AFP2" s="2"/>
      <c r="AFQ2" s="2" t="s">
        <v>0</v>
      </c>
      <c r="AFR2" s="2"/>
      <c r="AFS2" s="2"/>
      <c r="AFT2" s="2"/>
      <c r="AFU2" s="2"/>
      <c r="AFV2" s="2"/>
      <c r="AFW2" s="2"/>
      <c r="AFX2" s="2"/>
      <c r="AFY2" s="2"/>
      <c r="AFZ2" s="2"/>
      <c r="AGA2" s="2"/>
      <c r="AGB2" s="2"/>
      <c r="AGC2" s="2"/>
      <c r="AGD2" s="2"/>
      <c r="AGE2" s="2"/>
      <c r="AGF2" s="2"/>
      <c r="AGG2" s="2" t="s">
        <v>0</v>
      </c>
      <c r="AGH2" s="2"/>
      <c r="AGI2" s="2"/>
      <c r="AGJ2" s="2"/>
      <c r="AGK2" s="2"/>
      <c r="AGL2" s="2"/>
      <c r="AGM2" s="2"/>
      <c r="AGN2" s="2"/>
      <c r="AGO2" s="2"/>
      <c r="AGP2" s="2"/>
      <c r="AGQ2" s="2"/>
      <c r="AGR2" s="2"/>
      <c r="AGS2" s="2"/>
      <c r="AGT2" s="2"/>
      <c r="AGU2" s="2"/>
      <c r="AGV2" s="2"/>
      <c r="AGW2" s="2" t="s">
        <v>0</v>
      </c>
      <c r="AGX2" s="2"/>
      <c r="AGY2" s="2"/>
      <c r="AGZ2" s="2"/>
      <c r="AHA2" s="2"/>
      <c r="AHB2" s="2"/>
      <c r="AHC2" s="2"/>
      <c r="AHD2" s="2"/>
      <c r="AHE2" s="2"/>
      <c r="AHF2" s="2"/>
      <c r="AHG2" s="2"/>
      <c r="AHH2" s="2"/>
      <c r="AHI2" s="2"/>
      <c r="AHJ2" s="2"/>
      <c r="AHK2" s="2"/>
      <c r="AHL2" s="2"/>
      <c r="AHM2" s="2" t="s">
        <v>0</v>
      </c>
      <c r="AHN2" s="2"/>
      <c r="AHO2" s="2"/>
      <c r="AHP2" s="2"/>
      <c r="AHQ2" s="2"/>
      <c r="AHR2" s="2"/>
      <c r="AHS2" s="2"/>
      <c r="AHT2" s="2"/>
      <c r="AHU2" s="2"/>
      <c r="AHV2" s="2"/>
      <c r="AHW2" s="2"/>
      <c r="AHX2" s="2"/>
      <c r="AHY2" s="2"/>
      <c r="AHZ2" s="2"/>
      <c r="AIA2" s="2"/>
      <c r="AIB2" s="2"/>
      <c r="AIC2" s="2" t="s">
        <v>0</v>
      </c>
      <c r="AID2" s="2"/>
      <c r="AIE2" s="2"/>
      <c r="AIF2" s="2"/>
      <c r="AIG2" s="2"/>
      <c r="AIH2" s="2"/>
      <c r="AII2" s="2"/>
      <c r="AIJ2" s="2"/>
      <c r="AIK2" s="2"/>
      <c r="AIL2" s="2"/>
      <c r="AIM2" s="2"/>
      <c r="AIN2" s="2"/>
      <c r="AIO2" s="2"/>
      <c r="AIP2" s="2"/>
      <c r="AIQ2" s="2"/>
      <c r="AIR2" s="2"/>
      <c r="AIS2" s="2" t="s">
        <v>0</v>
      </c>
      <c r="AIT2" s="2"/>
      <c r="AIU2" s="2"/>
      <c r="AIV2" s="2"/>
      <c r="AIW2" s="2"/>
      <c r="AIX2" s="2"/>
      <c r="AIY2" s="2"/>
      <c r="AIZ2" s="2"/>
      <c r="AJA2" s="2"/>
      <c r="AJB2" s="2"/>
      <c r="AJC2" s="2"/>
      <c r="AJD2" s="2"/>
      <c r="AJE2" s="2"/>
      <c r="AJF2" s="2"/>
      <c r="AJG2" s="2"/>
      <c r="AJH2" s="2"/>
      <c r="AJI2" s="2" t="s">
        <v>0</v>
      </c>
      <c r="AJJ2" s="2"/>
      <c r="AJK2" s="2"/>
      <c r="AJL2" s="2"/>
      <c r="AJM2" s="2"/>
      <c r="AJN2" s="2"/>
      <c r="AJO2" s="2"/>
      <c r="AJP2" s="2"/>
      <c r="AJQ2" s="2"/>
      <c r="AJR2" s="2"/>
      <c r="AJS2" s="2"/>
      <c r="AJT2" s="2"/>
      <c r="AJU2" s="2"/>
      <c r="AJV2" s="2"/>
      <c r="AJW2" s="2"/>
      <c r="AJX2" s="2"/>
      <c r="AJY2" s="2" t="s">
        <v>0</v>
      </c>
      <c r="AJZ2" s="2"/>
      <c r="AKA2" s="2"/>
      <c r="AKB2" s="2"/>
      <c r="AKC2" s="2"/>
      <c r="AKD2" s="2"/>
      <c r="AKE2" s="2"/>
      <c r="AKF2" s="2"/>
      <c r="AKG2" s="2"/>
      <c r="AKH2" s="2"/>
      <c r="AKI2" s="2"/>
      <c r="AKJ2" s="2"/>
      <c r="AKK2" s="2"/>
      <c r="AKL2" s="2"/>
      <c r="AKM2" s="2"/>
      <c r="AKN2" s="2"/>
      <c r="AKO2" s="2" t="s">
        <v>0</v>
      </c>
      <c r="AKP2" s="2"/>
      <c r="AKQ2" s="2"/>
      <c r="AKR2" s="2"/>
      <c r="AKS2" s="2"/>
      <c r="AKT2" s="2"/>
      <c r="AKU2" s="2"/>
      <c r="AKV2" s="2"/>
      <c r="AKW2" s="2"/>
      <c r="AKX2" s="2"/>
      <c r="AKY2" s="2"/>
      <c r="AKZ2" s="2"/>
      <c r="ALA2" s="2"/>
      <c r="ALB2" s="2"/>
      <c r="ALC2" s="2"/>
      <c r="ALD2" s="2"/>
      <c r="ALE2" s="2" t="s">
        <v>0</v>
      </c>
      <c r="ALF2" s="2"/>
      <c r="ALG2" s="2"/>
      <c r="ALH2" s="2"/>
      <c r="ALI2" s="2"/>
      <c r="ALJ2" s="2"/>
      <c r="ALK2" s="2"/>
      <c r="ALL2" s="2"/>
      <c r="ALM2" s="2"/>
      <c r="ALN2" s="2"/>
      <c r="ALO2" s="2"/>
      <c r="ALP2" s="2"/>
      <c r="ALQ2" s="2"/>
      <c r="ALR2" s="2"/>
      <c r="ALS2" s="2"/>
      <c r="ALT2" s="2"/>
      <c r="ALU2" s="2" t="s">
        <v>0</v>
      </c>
      <c r="ALV2" s="2"/>
      <c r="ALW2" s="2"/>
      <c r="ALX2" s="2"/>
      <c r="ALY2" s="2"/>
      <c r="ALZ2" s="2"/>
      <c r="AMA2" s="2"/>
      <c r="AMB2" s="2"/>
      <c r="AMC2" s="2"/>
      <c r="AMD2" s="2"/>
      <c r="AME2" s="2"/>
      <c r="AMF2" s="2"/>
      <c r="AMG2" s="2"/>
      <c r="AMH2" s="2"/>
      <c r="AMI2" s="2"/>
      <c r="AMJ2" s="2"/>
      <c r="AMK2" s="2" t="s">
        <v>0</v>
      </c>
      <c r="AML2" s="2"/>
      <c r="AMM2" s="2"/>
      <c r="AMN2" s="2"/>
      <c r="AMO2" s="2"/>
      <c r="AMP2" s="2"/>
      <c r="AMQ2" s="2"/>
      <c r="AMR2" s="2"/>
      <c r="AMS2" s="2"/>
      <c r="AMT2" s="2"/>
      <c r="AMU2" s="2"/>
      <c r="AMV2" s="2"/>
      <c r="AMW2" s="2"/>
      <c r="AMX2" s="2"/>
      <c r="AMY2" s="2"/>
      <c r="AMZ2" s="2"/>
      <c r="ANA2" s="2" t="s">
        <v>0</v>
      </c>
      <c r="ANB2" s="2"/>
      <c r="ANC2" s="2"/>
      <c r="AND2" s="2"/>
      <c r="ANE2" s="2"/>
      <c r="ANF2" s="2"/>
      <c r="ANG2" s="2"/>
      <c r="ANH2" s="2"/>
      <c r="ANI2" s="2"/>
      <c r="ANJ2" s="2"/>
      <c r="ANK2" s="2"/>
      <c r="ANL2" s="2"/>
      <c r="ANM2" s="2"/>
      <c r="ANN2" s="2"/>
      <c r="ANO2" s="2"/>
      <c r="ANP2" s="2"/>
      <c r="ANQ2" s="2" t="s">
        <v>0</v>
      </c>
      <c r="ANR2" s="2"/>
      <c r="ANS2" s="2"/>
      <c r="ANT2" s="2"/>
      <c r="ANU2" s="2"/>
      <c r="ANV2" s="2"/>
      <c r="ANW2" s="2"/>
      <c r="ANX2" s="2"/>
      <c r="ANY2" s="2"/>
      <c r="ANZ2" s="2"/>
      <c r="AOA2" s="2"/>
      <c r="AOB2" s="2"/>
      <c r="AOC2" s="2"/>
      <c r="AOD2" s="2"/>
      <c r="AOE2" s="2"/>
      <c r="AOF2" s="2"/>
      <c r="AOG2" s="2" t="s">
        <v>0</v>
      </c>
      <c r="AOH2" s="2"/>
      <c r="AOI2" s="2"/>
      <c r="AOJ2" s="2"/>
      <c r="AOK2" s="2"/>
      <c r="AOL2" s="2"/>
      <c r="AOM2" s="2"/>
      <c r="AON2" s="2"/>
      <c r="AOO2" s="2"/>
      <c r="AOP2" s="2"/>
      <c r="AOQ2" s="2"/>
      <c r="AOR2" s="2"/>
      <c r="AOS2" s="2"/>
      <c r="AOT2" s="2"/>
      <c r="AOU2" s="2"/>
      <c r="AOV2" s="2"/>
      <c r="AOW2" s="2" t="s">
        <v>0</v>
      </c>
      <c r="AOX2" s="2"/>
      <c r="AOY2" s="2"/>
      <c r="AOZ2" s="2"/>
      <c r="APA2" s="2"/>
      <c r="APB2" s="2"/>
      <c r="APC2" s="2"/>
      <c r="APD2" s="2"/>
      <c r="APE2" s="2"/>
      <c r="APF2" s="2"/>
      <c r="APG2" s="2"/>
      <c r="APH2" s="2"/>
      <c r="API2" s="2"/>
      <c r="APJ2" s="2"/>
      <c r="APK2" s="2"/>
      <c r="APL2" s="2"/>
      <c r="APM2" s="2" t="s">
        <v>0</v>
      </c>
      <c r="APN2" s="2"/>
      <c r="APO2" s="2"/>
      <c r="APP2" s="2"/>
      <c r="APQ2" s="2"/>
      <c r="APR2" s="2"/>
      <c r="APS2" s="2"/>
      <c r="APT2" s="2"/>
      <c r="APU2" s="2"/>
      <c r="APV2" s="2"/>
      <c r="APW2" s="2"/>
      <c r="APX2" s="2"/>
      <c r="APY2" s="2"/>
      <c r="APZ2" s="2"/>
      <c r="AQA2" s="2"/>
      <c r="AQB2" s="2"/>
      <c r="AQC2" s="2" t="s">
        <v>0</v>
      </c>
      <c r="AQD2" s="2"/>
      <c r="AQE2" s="2"/>
      <c r="AQF2" s="2"/>
      <c r="AQG2" s="2"/>
      <c r="AQH2" s="2"/>
      <c r="AQI2" s="2"/>
      <c r="AQJ2" s="2"/>
      <c r="AQK2" s="2"/>
      <c r="AQL2" s="2"/>
      <c r="AQM2" s="2"/>
      <c r="AQN2" s="2"/>
      <c r="AQO2" s="2"/>
      <c r="AQP2" s="2"/>
      <c r="AQQ2" s="2"/>
      <c r="AQR2" s="2"/>
      <c r="AQS2" s="2" t="s">
        <v>0</v>
      </c>
      <c r="AQT2" s="2"/>
      <c r="AQU2" s="2"/>
      <c r="AQV2" s="2"/>
      <c r="AQW2" s="2"/>
      <c r="AQX2" s="2"/>
      <c r="AQY2" s="2"/>
      <c r="AQZ2" s="2"/>
      <c r="ARA2" s="2"/>
      <c r="ARB2" s="2"/>
      <c r="ARC2" s="2"/>
      <c r="ARD2" s="2"/>
      <c r="ARE2" s="2"/>
      <c r="ARF2" s="2"/>
      <c r="ARG2" s="2"/>
      <c r="ARH2" s="2"/>
      <c r="ARI2" s="2" t="s">
        <v>0</v>
      </c>
      <c r="ARJ2" s="2"/>
      <c r="ARK2" s="2"/>
      <c r="ARL2" s="2"/>
      <c r="ARM2" s="2"/>
      <c r="ARN2" s="2"/>
      <c r="ARO2" s="2"/>
      <c r="ARP2" s="2"/>
      <c r="ARQ2" s="2"/>
      <c r="ARR2" s="2"/>
      <c r="ARS2" s="2"/>
      <c r="ART2" s="2"/>
      <c r="ARU2" s="2"/>
      <c r="ARV2" s="2"/>
      <c r="ARW2" s="2"/>
      <c r="ARX2" s="2"/>
      <c r="ARY2" s="2" t="s">
        <v>0</v>
      </c>
      <c r="ARZ2" s="2"/>
      <c r="ASA2" s="2"/>
      <c r="ASB2" s="2"/>
      <c r="ASC2" s="2"/>
      <c r="ASD2" s="2"/>
      <c r="ASE2" s="2"/>
      <c r="ASF2" s="2"/>
      <c r="ASG2" s="2"/>
      <c r="ASH2" s="2"/>
      <c r="ASI2" s="2"/>
      <c r="ASJ2" s="2"/>
      <c r="ASK2" s="2"/>
      <c r="ASL2" s="2"/>
      <c r="ASM2" s="2"/>
      <c r="ASN2" s="2"/>
      <c r="ASO2" s="2" t="s">
        <v>0</v>
      </c>
      <c r="ASP2" s="2"/>
      <c r="ASQ2" s="2"/>
      <c r="ASR2" s="2"/>
      <c r="ASS2" s="2"/>
      <c r="AST2" s="2"/>
      <c r="ASU2" s="2"/>
      <c r="ASV2" s="2"/>
      <c r="ASW2" s="2"/>
      <c r="ASX2" s="2"/>
      <c r="ASY2" s="2"/>
      <c r="ASZ2" s="2"/>
      <c r="ATA2" s="2"/>
      <c r="ATB2" s="2"/>
      <c r="ATC2" s="2"/>
      <c r="ATD2" s="2"/>
      <c r="ATE2" s="2" t="s">
        <v>0</v>
      </c>
      <c r="ATF2" s="2"/>
      <c r="ATG2" s="2"/>
      <c r="ATH2" s="2"/>
      <c r="ATI2" s="2"/>
      <c r="ATJ2" s="2"/>
      <c r="ATK2" s="2"/>
      <c r="ATL2" s="2"/>
      <c r="ATM2" s="2"/>
      <c r="ATN2" s="2"/>
      <c r="ATO2" s="2"/>
      <c r="ATP2" s="2"/>
      <c r="ATQ2" s="2"/>
      <c r="ATR2" s="2"/>
      <c r="ATS2" s="2"/>
      <c r="ATT2" s="2"/>
      <c r="ATU2" s="2" t="s">
        <v>0</v>
      </c>
      <c r="ATV2" s="2"/>
      <c r="ATW2" s="2"/>
      <c r="ATX2" s="2"/>
      <c r="ATY2" s="2"/>
      <c r="ATZ2" s="2"/>
      <c r="AUA2" s="2"/>
      <c r="AUB2" s="2"/>
      <c r="AUC2" s="2"/>
      <c r="AUD2" s="2"/>
      <c r="AUE2" s="2"/>
      <c r="AUF2" s="2"/>
      <c r="AUG2" s="2"/>
      <c r="AUH2" s="2"/>
      <c r="AUI2" s="2"/>
      <c r="AUJ2" s="2"/>
      <c r="AUK2" s="2" t="s">
        <v>0</v>
      </c>
      <c r="AUL2" s="2"/>
      <c r="AUM2" s="2"/>
      <c r="AUN2" s="2"/>
      <c r="AUO2" s="2"/>
      <c r="AUP2" s="2"/>
      <c r="AUQ2" s="2"/>
      <c r="AUR2" s="2"/>
      <c r="AUS2" s="2"/>
      <c r="AUT2" s="2"/>
      <c r="AUU2" s="2"/>
      <c r="AUV2" s="2"/>
      <c r="AUW2" s="2"/>
      <c r="AUX2" s="2"/>
      <c r="AUY2" s="2"/>
      <c r="AUZ2" s="2"/>
      <c r="AVA2" s="2" t="s">
        <v>0</v>
      </c>
      <c r="AVB2" s="2"/>
      <c r="AVC2" s="2"/>
      <c r="AVD2" s="2"/>
      <c r="AVE2" s="2"/>
      <c r="AVF2" s="2"/>
      <c r="AVG2" s="2"/>
      <c r="AVH2" s="2"/>
      <c r="AVI2" s="2"/>
      <c r="AVJ2" s="2"/>
      <c r="AVK2" s="2"/>
      <c r="AVL2" s="2"/>
      <c r="AVM2" s="2"/>
      <c r="AVN2" s="2"/>
      <c r="AVO2" s="2"/>
      <c r="AVP2" s="2"/>
      <c r="AVQ2" s="2" t="s">
        <v>0</v>
      </c>
      <c r="AVR2" s="2"/>
      <c r="AVS2" s="2"/>
      <c r="AVT2" s="2"/>
      <c r="AVU2" s="2"/>
      <c r="AVV2" s="2"/>
      <c r="AVW2" s="2"/>
      <c r="AVX2" s="2"/>
      <c r="AVY2" s="2"/>
      <c r="AVZ2" s="2"/>
      <c r="AWA2" s="2"/>
      <c r="AWB2" s="2"/>
      <c r="AWC2" s="2"/>
      <c r="AWD2" s="2"/>
      <c r="AWE2" s="2"/>
      <c r="AWF2" s="2"/>
      <c r="AWG2" s="2" t="s">
        <v>0</v>
      </c>
      <c r="AWH2" s="2"/>
      <c r="AWI2" s="2"/>
      <c r="AWJ2" s="2"/>
      <c r="AWK2" s="2"/>
      <c r="AWL2" s="2"/>
      <c r="AWM2" s="2"/>
      <c r="AWN2" s="2"/>
      <c r="AWO2" s="2"/>
      <c r="AWP2" s="2"/>
      <c r="AWQ2" s="2"/>
      <c r="AWR2" s="2"/>
      <c r="AWS2" s="2"/>
      <c r="AWT2" s="2"/>
      <c r="AWU2" s="2"/>
      <c r="AWV2" s="2"/>
      <c r="AWW2" s="2" t="s">
        <v>0</v>
      </c>
      <c r="AWX2" s="2"/>
      <c r="AWY2" s="2"/>
      <c r="AWZ2" s="2"/>
      <c r="AXA2" s="2"/>
      <c r="AXB2" s="2"/>
      <c r="AXC2" s="2"/>
      <c r="AXD2" s="2"/>
      <c r="AXE2" s="2"/>
      <c r="AXF2" s="2"/>
      <c r="AXG2" s="2"/>
      <c r="AXH2" s="2"/>
      <c r="AXI2" s="2"/>
      <c r="AXJ2" s="2"/>
      <c r="AXK2" s="2"/>
      <c r="AXL2" s="2"/>
      <c r="AXM2" s="2" t="s">
        <v>0</v>
      </c>
      <c r="AXN2" s="2"/>
      <c r="AXO2" s="2"/>
      <c r="AXP2" s="2"/>
      <c r="AXQ2" s="2"/>
      <c r="AXR2" s="2"/>
      <c r="AXS2" s="2"/>
      <c r="AXT2" s="2"/>
      <c r="AXU2" s="2"/>
      <c r="AXV2" s="2"/>
      <c r="AXW2" s="2"/>
      <c r="AXX2" s="2"/>
      <c r="AXY2" s="2"/>
      <c r="AXZ2" s="2"/>
      <c r="AYA2" s="2"/>
      <c r="AYB2" s="2"/>
      <c r="AYC2" s="2" t="s">
        <v>0</v>
      </c>
      <c r="AYD2" s="2"/>
      <c r="AYE2" s="2"/>
      <c r="AYF2" s="2"/>
      <c r="AYG2" s="2"/>
      <c r="AYH2" s="2"/>
      <c r="AYI2" s="2"/>
      <c r="AYJ2" s="2"/>
      <c r="AYK2" s="2"/>
      <c r="AYL2" s="2"/>
      <c r="AYM2" s="2"/>
      <c r="AYN2" s="2"/>
      <c r="AYO2" s="2"/>
      <c r="AYP2" s="2"/>
      <c r="AYQ2" s="2"/>
      <c r="AYR2" s="2"/>
      <c r="AYS2" s="2" t="s">
        <v>0</v>
      </c>
      <c r="AYT2" s="2"/>
      <c r="AYU2" s="2"/>
      <c r="AYV2" s="2"/>
      <c r="AYW2" s="2"/>
      <c r="AYX2" s="2"/>
      <c r="AYY2" s="2"/>
      <c r="AYZ2" s="2"/>
      <c r="AZA2" s="2"/>
      <c r="AZB2" s="2"/>
      <c r="AZC2" s="2"/>
      <c r="AZD2" s="2"/>
      <c r="AZE2" s="2"/>
      <c r="AZF2" s="2"/>
      <c r="AZG2" s="2"/>
      <c r="AZH2" s="2"/>
      <c r="AZI2" s="2" t="s">
        <v>0</v>
      </c>
      <c r="AZJ2" s="2"/>
      <c r="AZK2" s="2"/>
      <c r="AZL2" s="2"/>
      <c r="AZM2" s="2"/>
      <c r="AZN2" s="2"/>
      <c r="AZO2" s="2"/>
      <c r="AZP2" s="2"/>
      <c r="AZQ2" s="2"/>
      <c r="AZR2" s="2"/>
      <c r="AZS2" s="2"/>
      <c r="AZT2" s="2"/>
      <c r="AZU2" s="2"/>
      <c r="AZV2" s="2"/>
      <c r="AZW2" s="2"/>
      <c r="AZX2" s="2"/>
      <c r="AZY2" s="2" t="s">
        <v>0</v>
      </c>
      <c r="AZZ2" s="2"/>
      <c r="BAA2" s="2"/>
      <c r="BAB2" s="2"/>
      <c r="BAC2" s="2"/>
      <c r="BAD2" s="2"/>
      <c r="BAE2" s="2"/>
      <c r="BAF2" s="2"/>
      <c r="BAG2" s="2"/>
      <c r="BAH2" s="2"/>
      <c r="BAI2" s="2"/>
      <c r="BAJ2" s="2"/>
      <c r="BAK2" s="2"/>
      <c r="BAL2" s="2"/>
      <c r="BAM2" s="2"/>
      <c r="BAN2" s="2"/>
      <c r="BAO2" s="2" t="s">
        <v>0</v>
      </c>
      <c r="BAP2" s="2"/>
      <c r="BAQ2" s="2"/>
      <c r="BAR2" s="2"/>
      <c r="BAS2" s="2"/>
      <c r="BAT2" s="2"/>
      <c r="BAU2" s="2"/>
      <c r="BAV2" s="2"/>
      <c r="BAW2" s="2"/>
      <c r="BAX2" s="2"/>
      <c r="BAY2" s="2"/>
      <c r="BAZ2" s="2"/>
      <c r="BBA2" s="2"/>
      <c r="BBB2" s="2"/>
      <c r="BBC2" s="2"/>
      <c r="BBD2" s="2"/>
      <c r="BBE2" s="2" t="s">
        <v>0</v>
      </c>
      <c r="BBF2" s="2"/>
      <c r="BBG2" s="2"/>
      <c r="BBH2" s="2"/>
      <c r="BBI2" s="2"/>
      <c r="BBJ2" s="2"/>
      <c r="BBK2" s="2"/>
      <c r="BBL2" s="2"/>
      <c r="BBM2" s="2"/>
      <c r="BBN2" s="2"/>
      <c r="BBO2" s="2"/>
      <c r="BBP2" s="2"/>
      <c r="BBQ2" s="2"/>
      <c r="BBR2" s="2"/>
      <c r="BBS2" s="2"/>
      <c r="BBT2" s="2"/>
      <c r="BBU2" s="2" t="s">
        <v>0</v>
      </c>
      <c r="BBV2" s="2"/>
      <c r="BBW2" s="2"/>
      <c r="BBX2" s="2"/>
      <c r="BBY2" s="2"/>
      <c r="BBZ2" s="2"/>
      <c r="BCA2" s="2"/>
      <c r="BCB2" s="2"/>
      <c r="BCC2" s="2"/>
      <c r="BCD2" s="2"/>
      <c r="BCE2" s="2"/>
      <c r="BCF2" s="2"/>
      <c r="BCG2" s="2"/>
      <c r="BCH2" s="2"/>
      <c r="BCI2" s="2"/>
      <c r="BCJ2" s="2"/>
      <c r="BCK2" s="2" t="s">
        <v>0</v>
      </c>
      <c r="BCL2" s="2"/>
      <c r="BCM2" s="2"/>
      <c r="BCN2" s="2"/>
      <c r="BCO2" s="2"/>
      <c r="BCP2" s="2"/>
      <c r="BCQ2" s="2"/>
      <c r="BCR2" s="2"/>
      <c r="BCS2" s="2"/>
      <c r="BCT2" s="2"/>
      <c r="BCU2" s="2"/>
      <c r="BCV2" s="2"/>
      <c r="BCW2" s="2"/>
      <c r="BCX2" s="2"/>
      <c r="BCY2" s="2"/>
      <c r="BCZ2" s="2"/>
      <c r="BDA2" s="2" t="s">
        <v>0</v>
      </c>
      <c r="BDB2" s="2"/>
      <c r="BDC2" s="2"/>
      <c r="BDD2" s="2"/>
      <c r="BDE2" s="2"/>
      <c r="BDF2" s="2"/>
      <c r="BDG2" s="2"/>
      <c r="BDH2" s="2"/>
      <c r="BDI2" s="2"/>
      <c r="BDJ2" s="2"/>
      <c r="BDK2" s="2"/>
      <c r="BDL2" s="2"/>
      <c r="BDM2" s="2"/>
      <c r="BDN2" s="2"/>
      <c r="BDO2" s="2"/>
      <c r="BDP2" s="2"/>
      <c r="BDQ2" s="2" t="s">
        <v>0</v>
      </c>
      <c r="BDR2" s="2"/>
      <c r="BDS2" s="2"/>
      <c r="BDT2" s="2"/>
      <c r="BDU2" s="2"/>
      <c r="BDV2" s="2"/>
      <c r="BDW2" s="2"/>
      <c r="BDX2" s="2"/>
      <c r="BDY2" s="2"/>
      <c r="BDZ2" s="2"/>
      <c r="BEA2" s="2"/>
      <c r="BEB2" s="2"/>
      <c r="BEC2" s="2"/>
      <c r="BED2" s="2"/>
      <c r="BEE2" s="2"/>
      <c r="BEF2" s="2"/>
      <c r="BEG2" s="2" t="s">
        <v>0</v>
      </c>
      <c r="BEH2" s="2"/>
      <c r="BEI2" s="2"/>
      <c r="BEJ2" s="2"/>
      <c r="BEK2" s="2"/>
      <c r="BEL2" s="2"/>
      <c r="BEM2" s="2"/>
      <c r="BEN2" s="2"/>
      <c r="BEO2" s="2"/>
      <c r="BEP2" s="2"/>
      <c r="BEQ2" s="2"/>
      <c r="BER2" s="2"/>
      <c r="BES2" s="2"/>
      <c r="BET2" s="2"/>
      <c r="BEU2" s="2"/>
      <c r="BEV2" s="2"/>
      <c r="BEW2" s="2" t="s">
        <v>0</v>
      </c>
      <c r="BEX2" s="2"/>
      <c r="BEY2" s="2"/>
      <c r="BEZ2" s="2"/>
      <c r="BFA2" s="2"/>
      <c r="BFB2" s="2"/>
      <c r="BFC2" s="2"/>
      <c r="BFD2" s="2"/>
      <c r="BFE2" s="2"/>
      <c r="BFF2" s="2"/>
      <c r="BFG2" s="2"/>
      <c r="BFH2" s="2"/>
      <c r="BFI2" s="2"/>
      <c r="BFJ2" s="2"/>
      <c r="BFK2" s="2"/>
      <c r="BFL2" s="2"/>
      <c r="BFM2" s="2" t="s">
        <v>0</v>
      </c>
      <c r="BFN2" s="2"/>
      <c r="BFO2" s="2"/>
      <c r="BFP2" s="2"/>
      <c r="BFQ2" s="2"/>
      <c r="BFR2" s="2"/>
      <c r="BFS2" s="2"/>
      <c r="BFT2" s="2"/>
      <c r="BFU2" s="2"/>
      <c r="BFV2" s="2"/>
      <c r="BFW2" s="2"/>
      <c r="BFX2" s="2"/>
      <c r="BFY2" s="2"/>
      <c r="BFZ2" s="2"/>
      <c r="BGA2" s="2"/>
      <c r="BGB2" s="2"/>
      <c r="BGC2" s="2" t="s">
        <v>0</v>
      </c>
      <c r="BGD2" s="2"/>
      <c r="BGE2" s="2"/>
      <c r="BGF2" s="2"/>
      <c r="BGG2" s="2"/>
      <c r="BGH2" s="2"/>
      <c r="BGI2" s="2"/>
      <c r="BGJ2" s="2"/>
      <c r="BGK2" s="2"/>
      <c r="BGL2" s="2"/>
      <c r="BGM2" s="2"/>
      <c r="BGN2" s="2"/>
      <c r="BGO2" s="2"/>
      <c r="BGP2" s="2"/>
      <c r="BGQ2" s="2"/>
      <c r="BGR2" s="2"/>
      <c r="BGS2" s="2" t="s">
        <v>0</v>
      </c>
      <c r="BGT2" s="2"/>
      <c r="BGU2" s="2"/>
      <c r="BGV2" s="2"/>
      <c r="BGW2" s="2"/>
      <c r="BGX2" s="2"/>
      <c r="BGY2" s="2"/>
      <c r="BGZ2" s="2"/>
      <c r="BHA2" s="2"/>
      <c r="BHB2" s="2"/>
      <c r="BHC2" s="2"/>
      <c r="BHD2" s="2"/>
      <c r="BHE2" s="2"/>
      <c r="BHF2" s="2"/>
      <c r="BHG2" s="2"/>
      <c r="BHH2" s="2"/>
      <c r="BHI2" s="2" t="s">
        <v>0</v>
      </c>
      <c r="BHJ2" s="2"/>
      <c r="BHK2" s="2"/>
      <c r="BHL2" s="2"/>
      <c r="BHM2" s="2"/>
      <c r="BHN2" s="2"/>
      <c r="BHO2" s="2"/>
      <c r="BHP2" s="2"/>
      <c r="BHQ2" s="2"/>
      <c r="BHR2" s="2"/>
      <c r="BHS2" s="2"/>
      <c r="BHT2" s="2"/>
      <c r="BHU2" s="2"/>
      <c r="BHV2" s="2"/>
      <c r="BHW2" s="2"/>
      <c r="BHX2" s="2"/>
      <c r="BHY2" s="2" t="s">
        <v>0</v>
      </c>
      <c r="BHZ2" s="2"/>
      <c r="BIA2" s="2"/>
      <c r="BIB2" s="2"/>
      <c r="BIC2" s="2"/>
      <c r="BID2" s="2"/>
      <c r="BIE2" s="2"/>
      <c r="BIF2" s="2"/>
      <c r="BIG2" s="2"/>
      <c r="BIH2" s="2"/>
      <c r="BII2" s="2"/>
      <c r="BIJ2" s="2"/>
      <c r="BIK2" s="2"/>
      <c r="BIL2" s="2"/>
      <c r="BIM2" s="2"/>
      <c r="BIN2" s="2"/>
      <c r="BIO2" s="2" t="s">
        <v>0</v>
      </c>
      <c r="BIP2" s="2"/>
      <c r="BIQ2" s="2"/>
      <c r="BIR2" s="2"/>
      <c r="BIS2" s="2"/>
      <c r="BIT2" s="2"/>
      <c r="BIU2" s="2"/>
      <c r="BIV2" s="2"/>
      <c r="BIW2" s="2"/>
      <c r="BIX2" s="2"/>
      <c r="BIY2" s="2"/>
      <c r="BIZ2" s="2"/>
      <c r="BJA2" s="2"/>
      <c r="BJB2" s="2"/>
      <c r="BJC2" s="2"/>
      <c r="BJD2" s="2"/>
      <c r="BJE2" s="2" t="s">
        <v>0</v>
      </c>
      <c r="BJF2" s="2"/>
      <c r="BJG2" s="2"/>
      <c r="BJH2" s="2"/>
      <c r="BJI2" s="2"/>
      <c r="BJJ2" s="2"/>
      <c r="BJK2" s="2"/>
      <c r="BJL2" s="2"/>
      <c r="BJM2" s="2"/>
      <c r="BJN2" s="2"/>
      <c r="BJO2" s="2"/>
      <c r="BJP2" s="2"/>
      <c r="BJQ2" s="2"/>
      <c r="BJR2" s="2"/>
      <c r="BJS2" s="2"/>
      <c r="BJT2" s="2"/>
      <c r="BJU2" s="2" t="s">
        <v>0</v>
      </c>
      <c r="BJV2" s="2"/>
      <c r="BJW2" s="2"/>
      <c r="BJX2" s="2"/>
      <c r="BJY2" s="2"/>
      <c r="BJZ2" s="2"/>
      <c r="BKA2" s="2"/>
      <c r="BKB2" s="2"/>
      <c r="BKC2" s="2"/>
      <c r="BKD2" s="2"/>
      <c r="BKE2" s="2"/>
      <c r="BKF2" s="2"/>
      <c r="BKG2" s="2"/>
      <c r="BKH2" s="2"/>
      <c r="BKI2" s="2"/>
      <c r="BKJ2" s="2"/>
      <c r="BKK2" s="2" t="s">
        <v>0</v>
      </c>
      <c r="BKL2" s="2"/>
      <c r="BKM2" s="2"/>
      <c r="BKN2" s="2"/>
      <c r="BKO2" s="2"/>
      <c r="BKP2" s="2"/>
      <c r="BKQ2" s="2"/>
      <c r="BKR2" s="2"/>
      <c r="BKS2" s="2"/>
      <c r="BKT2" s="2"/>
      <c r="BKU2" s="2"/>
      <c r="BKV2" s="2"/>
      <c r="BKW2" s="2"/>
      <c r="BKX2" s="2"/>
      <c r="BKY2" s="2"/>
      <c r="BKZ2" s="2"/>
      <c r="BLA2" s="2" t="s">
        <v>0</v>
      </c>
      <c r="BLB2" s="2"/>
      <c r="BLC2" s="2"/>
      <c r="BLD2" s="2"/>
      <c r="BLE2" s="2"/>
      <c r="BLF2" s="2"/>
      <c r="BLG2" s="2"/>
      <c r="BLH2" s="2"/>
      <c r="BLI2" s="2"/>
      <c r="BLJ2" s="2"/>
      <c r="BLK2" s="2"/>
      <c r="BLL2" s="2"/>
      <c r="BLM2" s="2"/>
      <c r="BLN2" s="2"/>
      <c r="BLO2" s="2"/>
      <c r="BLP2" s="2"/>
      <c r="BLQ2" s="2" t="s">
        <v>0</v>
      </c>
      <c r="BLR2" s="2"/>
      <c r="BLS2" s="2"/>
      <c r="BLT2" s="2"/>
      <c r="BLU2" s="2"/>
      <c r="BLV2" s="2"/>
      <c r="BLW2" s="2"/>
      <c r="BLX2" s="2"/>
      <c r="BLY2" s="2"/>
      <c r="BLZ2" s="2"/>
      <c r="BMA2" s="2"/>
      <c r="BMB2" s="2"/>
      <c r="BMC2" s="2"/>
      <c r="BMD2" s="2"/>
      <c r="BME2" s="2"/>
      <c r="BMF2" s="2"/>
      <c r="BMG2" s="2" t="s">
        <v>0</v>
      </c>
      <c r="BMH2" s="2"/>
      <c r="BMI2" s="2"/>
      <c r="BMJ2" s="2"/>
      <c r="BMK2" s="2"/>
      <c r="BML2" s="2"/>
      <c r="BMM2" s="2"/>
      <c r="BMN2" s="2"/>
      <c r="BMO2" s="2"/>
      <c r="BMP2" s="2"/>
      <c r="BMQ2" s="2"/>
      <c r="BMR2" s="2"/>
      <c r="BMS2" s="2"/>
      <c r="BMT2" s="2"/>
      <c r="BMU2" s="2"/>
      <c r="BMV2" s="2"/>
      <c r="BMW2" s="2" t="s">
        <v>0</v>
      </c>
      <c r="BMX2" s="2"/>
      <c r="BMY2" s="2"/>
      <c r="BMZ2" s="2"/>
      <c r="BNA2" s="2"/>
      <c r="BNB2" s="2"/>
      <c r="BNC2" s="2"/>
      <c r="BND2" s="2"/>
      <c r="BNE2" s="2"/>
      <c r="BNF2" s="2"/>
      <c r="BNG2" s="2"/>
      <c r="BNH2" s="2"/>
      <c r="BNI2" s="2"/>
      <c r="BNJ2" s="2"/>
      <c r="BNK2" s="2"/>
      <c r="BNL2" s="2"/>
      <c r="BNM2" s="2" t="s">
        <v>0</v>
      </c>
      <c r="BNN2" s="2"/>
      <c r="BNO2" s="2"/>
      <c r="BNP2" s="2"/>
      <c r="BNQ2" s="2"/>
      <c r="BNR2" s="2"/>
      <c r="BNS2" s="2"/>
      <c r="BNT2" s="2"/>
      <c r="BNU2" s="2"/>
      <c r="BNV2" s="2"/>
      <c r="BNW2" s="2"/>
      <c r="BNX2" s="2"/>
      <c r="BNY2" s="2"/>
      <c r="BNZ2" s="2"/>
      <c r="BOA2" s="2"/>
      <c r="BOB2" s="2"/>
      <c r="BOC2" s="2" t="s">
        <v>0</v>
      </c>
      <c r="BOD2" s="2"/>
      <c r="BOE2" s="2"/>
      <c r="BOF2" s="2"/>
      <c r="BOG2" s="2"/>
      <c r="BOH2" s="2"/>
      <c r="BOI2" s="2"/>
      <c r="BOJ2" s="2"/>
      <c r="BOK2" s="2"/>
      <c r="BOL2" s="2"/>
      <c r="BOM2" s="2"/>
      <c r="BON2" s="2"/>
      <c r="BOO2" s="2"/>
      <c r="BOP2" s="2"/>
      <c r="BOQ2" s="2"/>
      <c r="BOR2" s="2"/>
      <c r="BOS2" s="2" t="s">
        <v>0</v>
      </c>
      <c r="BOT2" s="2"/>
      <c r="BOU2" s="2"/>
      <c r="BOV2" s="2"/>
      <c r="BOW2" s="2"/>
      <c r="BOX2" s="2"/>
      <c r="BOY2" s="2"/>
      <c r="BOZ2" s="2"/>
      <c r="BPA2" s="2"/>
      <c r="BPB2" s="2"/>
      <c r="BPC2" s="2"/>
      <c r="BPD2" s="2"/>
      <c r="BPE2" s="2"/>
      <c r="BPF2" s="2"/>
      <c r="BPG2" s="2"/>
      <c r="BPH2" s="2"/>
      <c r="BPI2" s="2" t="s">
        <v>0</v>
      </c>
      <c r="BPJ2" s="2"/>
      <c r="BPK2" s="2"/>
      <c r="BPL2" s="2"/>
      <c r="BPM2" s="2"/>
      <c r="BPN2" s="2"/>
      <c r="BPO2" s="2"/>
      <c r="BPP2" s="2"/>
      <c r="BPQ2" s="2"/>
      <c r="BPR2" s="2"/>
      <c r="BPS2" s="2"/>
      <c r="BPT2" s="2"/>
      <c r="BPU2" s="2"/>
      <c r="BPV2" s="2"/>
      <c r="BPW2" s="2"/>
      <c r="BPX2" s="2"/>
      <c r="BPY2" s="2" t="s">
        <v>0</v>
      </c>
      <c r="BPZ2" s="2"/>
      <c r="BQA2" s="2"/>
      <c r="BQB2" s="2"/>
      <c r="BQC2" s="2"/>
      <c r="BQD2" s="2"/>
      <c r="BQE2" s="2"/>
      <c r="BQF2" s="2"/>
      <c r="BQG2" s="2"/>
      <c r="BQH2" s="2"/>
      <c r="BQI2" s="2"/>
      <c r="BQJ2" s="2"/>
      <c r="BQK2" s="2"/>
      <c r="BQL2" s="2"/>
      <c r="BQM2" s="2"/>
      <c r="BQN2" s="2"/>
      <c r="BQO2" s="2" t="s">
        <v>0</v>
      </c>
      <c r="BQP2" s="2"/>
      <c r="BQQ2" s="2"/>
      <c r="BQR2" s="2"/>
      <c r="BQS2" s="2"/>
      <c r="BQT2" s="2"/>
      <c r="BQU2" s="2"/>
      <c r="BQV2" s="2"/>
      <c r="BQW2" s="2"/>
      <c r="BQX2" s="2"/>
      <c r="BQY2" s="2"/>
      <c r="BQZ2" s="2"/>
      <c r="BRA2" s="2"/>
      <c r="BRB2" s="2"/>
      <c r="BRC2" s="2"/>
      <c r="BRD2" s="2"/>
      <c r="BRE2" s="2" t="s">
        <v>0</v>
      </c>
      <c r="BRF2" s="2"/>
      <c r="BRG2" s="2"/>
      <c r="BRH2" s="2"/>
      <c r="BRI2" s="2"/>
      <c r="BRJ2" s="2"/>
      <c r="BRK2" s="2"/>
      <c r="BRL2" s="2"/>
      <c r="BRM2" s="2"/>
      <c r="BRN2" s="2"/>
      <c r="BRO2" s="2"/>
      <c r="BRP2" s="2"/>
      <c r="BRQ2" s="2"/>
      <c r="BRR2" s="2"/>
      <c r="BRS2" s="2"/>
      <c r="BRT2" s="2"/>
      <c r="BRU2" s="2" t="s">
        <v>0</v>
      </c>
      <c r="BRV2" s="2"/>
      <c r="BRW2" s="2"/>
      <c r="BRX2" s="2"/>
      <c r="BRY2" s="2"/>
      <c r="BRZ2" s="2"/>
      <c r="BSA2" s="2"/>
      <c r="BSB2" s="2"/>
      <c r="BSC2" s="2"/>
      <c r="BSD2" s="2"/>
      <c r="BSE2" s="2"/>
      <c r="BSF2" s="2"/>
      <c r="BSG2" s="2"/>
      <c r="BSH2" s="2"/>
      <c r="BSI2" s="2"/>
      <c r="BSJ2" s="2"/>
      <c r="BSK2" s="2" t="s">
        <v>0</v>
      </c>
      <c r="BSL2" s="2"/>
      <c r="BSM2" s="2"/>
      <c r="BSN2" s="2"/>
      <c r="BSO2" s="2"/>
      <c r="BSP2" s="2"/>
      <c r="BSQ2" s="2"/>
      <c r="BSR2" s="2"/>
      <c r="BSS2" s="2"/>
      <c r="BST2" s="2"/>
      <c r="BSU2" s="2"/>
      <c r="BSV2" s="2"/>
      <c r="BSW2" s="2"/>
      <c r="BSX2" s="2"/>
      <c r="BSY2" s="2"/>
      <c r="BSZ2" s="2"/>
      <c r="BTA2" s="2" t="s">
        <v>0</v>
      </c>
      <c r="BTB2" s="2"/>
      <c r="BTC2" s="2"/>
      <c r="BTD2" s="2"/>
      <c r="BTE2" s="2"/>
      <c r="BTF2" s="2"/>
      <c r="BTG2" s="2"/>
      <c r="BTH2" s="2"/>
      <c r="BTI2" s="2"/>
      <c r="BTJ2" s="2"/>
      <c r="BTK2" s="2"/>
      <c r="BTL2" s="2"/>
      <c r="BTM2" s="2"/>
      <c r="BTN2" s="2"/>
      <c r="BTO2" s="2"/>
      <c r="BTP2" s="2"/>
      <c r="BTQ2" s="2" t="s">
        <v>0</v>
      </c>
      <c r="BTR2" s="2"/>
      <c r="BTS2" s="2"/>
      <c r="BTT2" s="2"/>
      <c r="BTU2" s="2"/>
      <c r="BTV2" s="2"/>
      <c r="BTW2" s="2"/>
      <c r="BTX2" s="2"/>
      <c r="BTY2" s="2"/>
      <c r="BTZ2" s="2"/>
      <c r="BUA2" s="2"/>
      <c r="BUB2" s="2"/>
      <c r="BUC2" s="2"/>
      <c r="BUD2" s="2"/>
      <c r="BUE2" s="2"/>
      <c r="BUF2" s="2"/>
      <c r="BUG2" s="2" t="s">
        <v>0</v>
      </c>
      <c r="BUH2" s="2"/>
      <c r="BUI2" s="2"/>
      <c r="BUJ2" s="2"/>
      <c r="BUK2" s="2"/>
      <c r="BUL2" s="2"/>
      <c r="BUM2" s="2"/>
      <c r="BUN2" s="2"/>
      <c r="BUO2" s="2"/>
      <c r="BUP2" s="2"/>
      <c r="BUQ2" s="2"/>
      <c r="BUR2" s="2"/>
      <c r="BUS2" s="2"/>
      <c r="BUT2" s="2"/>
      <c r="BUU2" s="2"/>
      <c r="BUV2" s="2"/>
      <c r="BUW2" s="2" t="s">
        <v>0</v>
      </c>
      <c r="BUX2" s="2"/>
      <c r="BUY2" s="2"/>
      <c r="BUZ2" s="2"/>
      <c r="BVA2" s="2"/>
      <c r="BVB2" s="2"/>
      <c r="BVC2" s="2"/>
      <c r="BVD2" s="2"/>
      <c r="BVE2" s="2"/>
      <c r="BVF2" s="2"/>
      <c r="BVG2" s="2"/>
      <c r="BVH2" s="2"/>
      <c r="BVI2" s="2"/>
      <c r="BVJ2" s="2"/>
      <c r="BVK2" s="2"/>
      <c r="BVL2" s="2"/>
      <c r="BVM2" s="2" t="s">
        <v>0</v>
      </c>
      <c r="BVN2" s="2"/>
      <c r="BVO2" s="2"/>
      <c r="BVP2" s="2"/>
      <c r="BVQ2" s="2"/>
      <c r="BVR2" s="2"/>
      <c r="BVS2" s="2"/>
      <c r="BVT2" s="2"/>
      <c r="BVU2" s="2"/>
      <c r="BVV2" s="2"/>
      <c r="BVW2" s="2"/>
      <c r="BVX2" s="2"/>
      <c r="BVY2" s="2"/>
      <c r="BVZ2" s="2"/>
      <c r="BWA2" s="2"/>
      <c r="BWB2" s="2"/>
      <c r="BWC2" s="2" t="s">
        <v>0</v>
      </c>
      <c r="BWD2" s="2"/>
      <c r="BWE2" s="2"/>
      <c r="BWF2" s="2"/>
      <c r="BWG2" s="2"/>
      <c r="BWH2" s="2"/>
      <c r="BWI2" s="2"/>
      <c r="BWJ2" s="2"/>
      <c r="BWK2" s="2"/>
      <c r="BWL2" s="2"/>
      <c r="BWM2" s="2"/>
      <c r="BWN2" s="2"/>
      <c r="BWO2" s="2"/>
      <c r="BWP2" s="2"/>
      <c r="BWQ2" s="2"/>
      <c r="BWR2" s="2"/>
      <c r="BWS2" s="2" t="s">
        <v>0</v>
      </c>
      <c r="BWT2" s="2"/>
      <c r="BWU2" s="2"/>
      <c r="BWV2" s="2"/>
      <c r="BWW2" s="2"/>
      <c r="BWX2" s="2"/>
      <c r="BWY2" s="2"/>
      <c r="BWZ2" s="2"/>
      <c r="BXA2" s="2"/>
      <c r="BXB2" s="2"/>
      <c r="BXC2" s="2"/>
      <c r="BXD2" s="2"/>
      <c r="BXE2" s="2"/>
      <c r="BXF2" s="2"/>
      <c r="BXG2" s="2"/>
      <c r="BXH2" s="2"/>
      <c r="BXI2" s="2" t="s">
        <v>0</v>
      </c>
      <c r="BXJ2" s="2"/>
      <c r="BXK2" s="2"/>
      <c r="BXL2" s="2"/>
      <c r="BXM2" s="2"/>
      <c r="BXN2" s="2"/>
      <c r="BXO2" s="2"/>
      <c r="BXP2" s="2"/>
      <c r="BXQ2" s="2"/>
      <c r="BXR2" s="2"/>
      <c r="BXS2" s="2"/>
      <c r="BXT2" s="2"/>
      <c r="BXU2" s="2"/>
      <c r="BXV2" s="2"/>
      <c r="BXW2" s="2"/>
      <c r="BXX2" s="2"/>
      <c r="BXY2" s="2" t="s">
        <v>0</v>
      </c>
      <c r="BXZ2" s="2"/>
      <c r="BYA2" s="2"/>
      <c r="BYB2" s="2"/>
      <c r="BYC2" s="2"/>
      <c r="BYD2" s="2"/>
      <c r="BYE2" s="2"/>
      <c r="BYF2" s="2"/>
      <c r="BYG2" s="2"/>
      <c r="BYH2" s="2"/>
      <c r="BYI2" s="2"/>
      <c r="BYJ2" s="2"/>
      <c r="BYK2" s="2"/>
      <c r="BYL2" s="2"/>
      <c r="BYM2" s="2"/>
      <c r="BYN2" s="2"/>
      <c r="BYO2" s="2" t="s">
        <v>0</v>
      </c>
      <c r="BYP2" s="2"/>
      <c r="BYQ2" s="2"/>
      <c r="BYR2" s="2"/>
      <c r="BYS2" s="2"/>
      <c r="BYT2" s="2"/>
      <c r="BYU2" s="2"/>
      <c r="BYV2" s="2"/>
      <c r="BYW2" s="2"/>
      <c r="BYX2" s="2"/>
      <c r="BYY2" s="2"/>
      <c r="BYZ2" s="2"/>
      <c r="BZA2" s="2"/>
      <c r="BZB2" s="2"/>
      <c r="BZC2" s="2"/>
      <c r="BZD2" s="2"/>
      <c r="BZE2" s="2" t="s">
        <v>0</v>
      </c>
      <c r="BZF2" s="2"/>
      <c r="BZG2" s="2"/>
      <c r="BZH2" s="2"/>
      <c r="BZI2" s="2"/>
      <c r="BZJ2" s="2"/>
      <c r="BZK2" s="2"/>
      <c r="BZL2" s="2"/>
      <c r="BZM2" s="2"/>
      <c r="BZN2" s="2"/>
      <c r="BZO2" s="2"/>
      <c r="BZP2" s="2"/>
      <c r="BZQ2" s="2"/>
      <c r="BZR2" s="2"/>
      <c r="BZS2" s="2"/>
      <c r="BZT2" s="2"/>
      <c r="BZU2" s="2" t="s">
        <v>0</v>
      </c>
      <c r="BZV2" s="2"/>
      <c r="BZW2" s="2"/>
      <c r="BZX2" s="2"/>
      <c r="BZY2" s="2"/>
      <c r="BZZ2" s="2"/>
      <c r="CAA2" s="2"/>
      <c r="CAB2" s="2"/>
      <c r="CAC2" s="2"/>
      <c r="CAD2" s="2"/>
      <c r="CAE2" s="2"/>
      <c r="CAF2" s="2"/>
      <c r="CAG2" s="2"/>
      <c r="CAH2" s="2"/>
      <c r="CAI2" s="2"/>
      <c r="CAJ2" s="2"/>
      <c r="CAK2" s="2" t="s">
        <v>0</v>
      </c>
      <c r="CAL2" s="2"/>
      <c r="CAM2" s="2"/>
      <c r="CAN2" s="2"/>
      <c r="CAO2" s="2"/>
      <c r="CAP2" s="2"/>
      <c r="CAQ2" s="2"/>
      <c r="CAR2" s="2"/>
      <c r="CAS2" s="2"/>
      <c r="CAT2" s="2"/>
      <c r="CAU2" s="2"/>
      <c r="CAV2" s="2"/>
      <c r="CAW2" s="2"/>
      <c r="CAX2" s="2"/>
      <c r="CAY2" s="2"/>
      <c r="CAZ2" s="2"/>
      <c r="CBA2" s="2" t="s">
        <v>0</v>
      </c>
      <c r="CBB2" s="2"/>
      <c r="CBC2" s="2"/>
      <c r="CBD2" s="2"/>
      <c r="CBE2" s="2"/>
      <c r="CBF2" s="2"/>
      <c r="CBG2" s="2"/>
      <c r="CBH2" s="2"/>
      <c r="CBI2" s="2"/>
      <c r="CBJ2" s="2"/>
      <c r="CBK2" s="2"/>
      <c r="CBL2" s="2"/>
      <c r="CBM2" s="2"/>
      <c r="CBN2" s="2"/>
      <c r="CBO2" s="2"/>
      <c r="CBP2" s="2"/>
      <c r="CBQ2" s="2" t="s">
        <v>0</v>
      </c>
      <c r="CBR2" s="2"/>
      <c r="CBS2" s="2"/>
      <c r="CBT2" s="2"/>
      <c r="CBU2" s="2"/>
      <c r="CBV2" s="2"/>
      <c r="CBW2" s="2"/>
      <c r="CBX2" s="2"/>
      <c r="CBY2" s="2"/>
      <c r="CBZ2" s="2"/>
      <c r="CCA2" s="2"/>
      <c r="CCB2" s="2"/>
      <c r="CCC2" s="2"/>
      <c r="CCD2" s="2"/>
      <c r="CCE2" s="2"/>
      <c r="CCF2" s="2"/>
      <c r="CCG2" s="2" t="s">
        <v>0</v>
      </c>
      <c r="CCH2" s="2"/>
      <c r="CCI2" s="2"/>
      <c r="CCJ2" s="2"/>
      <c r="CCK2" s="2"/>
      <c r="CCL2" s="2"/>
      <c r="CCM2" s="2"/>
      <c r="CCN2" s="2"/>
      <c r="CCO2" s="2"/>
      <c r="CCP2" s="2"/>
      <c r="CCQ2" s="2"/>
      <c r="CCR2" s="2"/>
      <c r="CCS2" s="2"/>
      <c r="CCT2" s="2"/>
      <c r="CCU2" s="2"/>
      <c r="CCV2" s="2"/>
      <c r="CCW2" s="2" t="s">
        <v>0</v>
      </c>
      <c r="CCX2" s="2"/>
      <c r="CCY2" s="2"/>
      <c r="CCZ2" s="2"/>
      <c r="CDA2" s="2"/>
      <c r="CDB2" s="2"/>
      <c r="CDC2" s="2"/>
      <c r="CDD2" s="2"/>
      <c r="CDE2" s="2"/>
      <c r="CDF2" s="2"/>
      <c r="CDG2" s="2"/>
      <c r="CDH2" s="2"/>
      <c r="CDI2" s="2"/>
      <c r="CDJ2" s="2"/>
      <c r="CDK2" s="2"/>
      <c r="CDL2" s="2"/>
      <c r="CDM2" s="2" t="s">
        <v>0</v>
      </c>
      <c r="CDN2" s="2"/>
      <c r="CDO2" s="2"/>
      <c r="CDP2" s="2"/>
      <c r="CDQ2" s="2"/>
      <c r="CDR2" s="2"/>
      <c r="CDS2" s="2"/>
      <c r="CDT2" s="2"/>
      <c r="CDU2" s="2"/>
      <c r="CDV2" s="2"/>
      <c r="CDW2" s="2"/>
      <c r="CDX2" s="2"/>
      <c r="CDY2" s="2"/>
      <c r="CDZ2" s="2"/>
      <c r="CEA2" s="2"/>
      <c r="CEB2" s="2"/>
      <c r="CEC2" s="2" t="s">
        <v>0</v>
      </c>
      <c r="CED2" s="2"/>
      <c r="CEE2" s="2"/>
      <c r="CEF2" s="2"/>
      <c r="CEG2" s="2"/>
      <c r="CEH2" s="2"/>
      <c r="CEI2" s="2"/>
      <c r="CEJ2" s="2"/>
      <c r="CEK2" s="2"/>
      <c r="CEL2" s="2"/>
      <c r="CEM2" s="2"/>
      <c r="CEN2" s="2"/>
      <c r="CEO2" s="2"/>
      <c r="CEP2" s="2"/>
      <c r="CEQ2" s="2"/>
      <c r="CER2" s="2"/>
      <c r="CES2" s="2" t="s">
        <v>0</v>
      </c>
      <c r="CET2" s="2"/>
      <c r="CEU2" s="2"/>
      <c r="CEV2" s="2"/>
      <c r="CEW2" s="2"/>
      <c r="CEX2" s="2"/>
      <c r="CEY2" s="2"/>
      <c r="CEZ2" s="2"/>
      <c r="CFA2" s="2"/>
      <c r="CFB2" s="2"/>
      <c r="CFC2" s="2"/>
      <c r="CFD2" s="2"/>
      <c r="CFE2" s="2"/>
      <c r="CFF2" s="2"/>
      <c r="CFG2" s="2"/>
      <c r="CFH2" s="2"/>
      <c r="CFI2" s="2" t="s">
        <v>0</v>
      </c>
      <c r="CFJ2" s="2"/>
      <c r="CFK2" s="2"/>
      <c r="CFL2" s="2"/>
      <c r="CFM2" s="2"/>
      <c r="CFN2" s="2"/>
      <c r="CFO2" s="2"/>
      <c r="CFP2" s="2"/>
      <c r="CFQ2" s="2"/>
      <c r="CFR2" s="2"/>
      <c r="CFS2" s="2"/>
      <c r="CFT2" s="2"/>
      <c r="CFU2" s="2"/>
      <c r="CFV2" s="2"/>
      <c r="CFW2" s="2"/>
      <c r="CFX2" s="2"/>
      <c r="CFY2" s="2" t="s">
        <v>0</v>
      </c>
      <c r="CFZ2" s="2"/>
      <c r="CGA2" s="2"/>
      <c r="CGB2" s="2"/>
      <c r="CGC2" s="2"/>
      <c r="CGD2" s="2"/>
      <c r="CGE2" s="2"/>
      <c r="CGF2" s="2"/>
      <c r="CGG2" s="2"/>
      <c r="CGH2" s="2"/>
      <c r="CGI2" s="2"/>
      <c r="CGJ2" s="2"/>
      <c r="CGK2" s="2"/>
      <c r="CGL2" s="2"/>
      <c r="CGM2" s="2"/>
      <c r="CGN2" s="2"/>
      <c r="CGO2" s="2" t="s">
        <v>0</v>
      </c>
      <c r="CGP2" s="2"/>
      <c r="CGQ2" s="2"/>
      <c r="CGR2" s="2"/>
      <c r="CGS2" s="2"/>
      <c r="CGT2" s="2"/>
      <c r="CGU2" s="2"/>
      <c r="CGV2" s="2"/>
      <c r="CGW2" s="2"/>
      <c r="CGX2" s="2"/>
      <c r="CGY2" s="2"/>
      <c r="CGZ2" s="2"/>
      <c r="CHA2" s="2"/>
      <c r="CHB2" s="2"/>
      <c r="CHC2" s="2"/>
      <c r="CHD2" s="2"/>
      <c r="CHE2" s="2" t="s">
        <v>0</v>
      </c>
      <c r="CHF2" s="2"/>
      <c r="CHG2" s="2"/>
      <c r="CHH2" s="2"/>
      <c r="CHI2" s="2"/>
      <c r="CHJ2" s="2"/>
      <c r="CHK2" s="2"/>
      <c r="CHL2" s="2"/>
      <c r="CHM2" s="2"/>
      <c r="CHN2" s="2"/>
      <c r="CHO2" s="2"/>
      <c r="CHP2" s="2"/>
      <c r="CHQ2" s="2"/>
      <c r="CHR2" s="2"/>
      <c r="CHS2" s="2"/>
      <c r="CHT2" s="2"/>
      <c r="CHU2" s="2" t="s">
        <v>0</v>
      </c>
      <c r="CHV2" s="2"/>
      <c r="CHW2" s="2"/>
      <c r="CHX2" s="2"/>
      <c r="CHY2" s="2"/>
      <c r="CHZ2" s="2"/>
      <c r="CIA2" s="2"/>
      <c r="CIB2" s="2"/>
      <c r="CIC2" s="2"/>
      <c r="CID2" s="2"/>
      <c r="CIE2" s="2"/>
      <c r="CIF2" s="2"/>
      <c r="CIG2" s="2"/>
      <c r="CIH2" s="2"/>
      <c r="CII2" s="2"/>
      <c r="CIJ2" s="2"/>
      <c r="CIK2" s="2" t="s">
        <v>0</v>
      </c>
      <c r="CIL2" s="2"/>
      <c r="CIM2" s="2"/>
      <c r="CIN2" s="2"/>
      <c r="CIO2" s="2"/>
      <c r="CIP2" s="2"/>
      <c r="CIQ2" s="2"/>
      <c r="CIR2" s="2"/>
      <c r="CIS2" s="2"/>
      <c r="CIT2" s="2"/>
      <c r="CIU2" s="2"/>
      <c r="CIV2" s="2"/>
      <c r="CIW2" s="2"/>
      <c r="CIX2" s="2"/>
      <c r="CIY2" s="2"/>
      <c r="CIZ2" s="2"/>
      <c r="CJA2" s="2" t="s">
        <v>0</v>
      </c>
      <c r="CJB2" s="2"/>
      <c r="CJC2" s="2"/>
      <c r="CJD2" s="2"/>
      <c r="CJE2" s="2"/>
      <c r="CJF2" s="2"/>
      <c r="CJG2" s="2"/>
      <c r="CJH2" s="2"/>
      <c r="CJI2" s="2"/>
      <c r="CJJ2" s="2"/>
      <c r="CJK2" s="2"/>
      <c r="CJL2" s="2"/>
      <c r="CJM2" s="2"/>
      <c r="CJN2" s="2"/>
      <c r="CJO2" s="2"/>
      <c r="CJP2" s="2"/>
      <c r="CJQ2" s="2" t="s">
        <v>0</v>
      </c>
      <c r="CJR2" s="2"/>
      <c r="CJS2" s="2"/>
      <c r="CJT2" s="2"/>
      <c r="CJU2" s="2"/>
      <c r="CJV2" s="2"/>
      <c r="CJW2" s="2"/>
      <c r="CJX2" s="2"/>
      <c r="CJY2" s="2"/>
      <c r="CJZ2" s="2"/>
      <c r="CKA2" s="2"/>
      <c r="CKB2" s="2"/>
      <c r="CKC2" s="2"/>
      <c r="CKD2" s="2"/>
      <c r="CKE2" s="2"/>
      <c r="CKF2" s="2"/>
      <c r="CKG2" s="2" t="s">
        <v>0</v>
      </c>
      <c r="CKH2" s="2"/>
      <c r="CKI2" s="2"/>
      <c r="CKJ2" s="2"/>
      <c r="CKK2" s="2"/>
      <c r="CKL2" s="2"/>
      <c r="CKM2" s="2"/>
      <c r="CKN2" s="2"/>
      <c r="CKO2" s="2"/>
      <c r="CKP2" s="2"/>
      <c r="CKQ2" s="2"/>
      <c r="CKR2" s="2"/>
      <c r="CKS2" s="2"/>
      <c r="CKT2" s="2"/>
      <c r="CKU2" s="2"/>
      <c r="CKV2" s="2"/>
      <c r="CKW2" s="2" t="s">
        <v>0</v>
      </c>
      <c r="CKX2" s="2"/>
      <c r="CKY2" s="2"/>
      <c r="CKZ2" s="2"/>
      <c r="CLA2" s="2"/>
      <c r="CLB2" s="2"/>
      <c r="CLC2" s="2"/>
      <c r="CLD2" s="2"/>
      <c r="CLE2" s="2"/>
      <c r="CLF2" s="2"/>
      <c r="CLG2" s="2"/>
      <c r="CLH2" s="2"/>
      <c r="CLI2" s="2"/>
      <c r="CLJ2" s="2"/>
      <c r="CLK2" s="2"/>
      <c r="CLL2" s="2"/>
      <c r="CLM2" s="2" t="s">
        <v>0</v>
      </c>
      <c r="CLN2" s="2"/>
      <c r="CLO2" s="2"/>
      <c r="CLP2" s="2"/>
      <c r="CLQ2" s="2"/>
      <c r="CLR2" s="2"/>
      <c r="CLS2" s="2"/>
      <c r="CLT2" s="2"/>
      <c r="CLU2" s="2"/>
      <c r="CLV2" s="2"/>
      <c r="CLW2" s="2"/>
      <c r="CLX2" s="2"/>
      <c r="CLY2" s="2"/>
      <c r="CLZ2" s="2"/>
      <c r="CMA2" s="2"/>
      <c r="CMB2" s="2"/>
      <c r="CMC2" s="2" t="s">
        <v>0</v>
      </c>
      <c r="CMD2" s="2"/>
      <c r="CME2" s="2"/>
      <c r="CMF2" s="2"/>
      <c r="CMG2" s="2"/>
      <c r="CMH2" s="2"/>
      <c r="CMI2" s="2"/>
      <c r="CMJ2" s="2"/>
      <c r="CMK2" s="2"/>
      <c r="CML2" s="2"/>
      <c r="CMM2" s="2"/>
      <c r="CMN2" s="2"/>
      <c r="CMO2" s="2"/>
      <c r="CMP2" s="2"/>
      <c r="CMQ2" s="2"/>
      <c r="CMR2" s="2"/>
      <c r="CMS2" s="2" t="s">
        <v>0</v>
      </c>
      <c r="CMT2" s="2"/>
      <c r="CMU2" s="2"/>
      <c r="CMV2" s="2"/>
      <c r="CMW2" s="2"/>
      <c r="CMX2" s="2"/>
      <c r="CMY2" s="2"/>
      <c r="CMZ2" s="2"/>
      <c r="CNA2" s="2"/>
      <c r="CNB2" s="2"/>
      <c r="CNC2" s="2"/>
      <c r="CND2" s="2"/>
      <c r="CNE2" s="2"/>
      <c r="CNF2" s="2"/>
      <c r="CNG2" s="2"/>
      <c r="CNH2" s="2"/>
      <c r="CNI2" s="2" t="s">
        <v>0</v>
      </c>
      <c r="CNJ2" s="2"/>
      <c r="CNK2" s="2"/>
      <c r="CNL2" s="2"/>
      <c r="CNM2" s="2"/>
      <c r="CNN2" s="2"/>
      <c r="CNO2" s="2"/>
      <c r="CNP2" s="2"/>
      <c r="CNQ2" s="2"/>
      <c r="CNR2" s="2"/>
      <c r="CNS2" s="2"/>
      <c r="CNT2" s="2"/>
      <c r="CNU2" s="2"/>
      <c r="CNV2" s="2"/>
      <c r="CNW2" s="2"/>
      <c r="CNX2" s="2"/>
      <c r="CNY2" s="2" t="s">
        <v>0</v>
      </c>
      <c r="CNZ2" s="2"/>
      <c r="COA2" s="2"/>
      <c r="COB2" s="2"/>
      <c r="COC2" s="2"/>
      <c r="COD2" s="2"/>
      <c r="COE2" s="2"/>
      <c r="COF2" s="2"/>
      <c r="COG2" s="2"/>
      <c r="COH2" s="2"/>
      <c r="COI2" s="2"/>
      <c r="COJ2" s="2"/>
      <c r="COK2" s="2"/>
      <c r="COL2" s="2"/>
      <c r="COM2" s="2"/>
      <c r="CON2" s="2"/>
      <c r="COO2" s="2" t="s">
        <v>0</v>
      </c>
      <c r="COP2" s="2"/>
      <c r="COQ2" s="2"/>
      <c r="COR2" s="2"/>
      <c r="COS2" s="2"/>
      <c r="COT2" s="2"/>
      <c r="COU2" s="2"/>
      <c r="COV2" s="2"/>
      <c r="COW2" s="2"/>
      <c r="COX2" s="2"/>
      <c r="COY2" s="2"/>
      <c r="COZ2" s="2"/>
      <c r="CPA2" s="2"/>
      <c r="CPB2" s="2"/>
      <c r="CPC2" s="2"/>
      <c r="CPD2" s="2"/>
      <c r="CPE2" s="2" t="s">
        <v>0</v>
      </c>
      <c r="CPF2" s="2"/>
      <c r="CPG2" s="2"/>
      <c r="CPH2" s="2"/>
      <c r="CPI2" s="2"/>
      <c r="CPJ2" s="2"/>
      <c r="CPK2" s="2"/>
      <c r="CPL2" s="2"/>
      <c r="CPM2" s="2"/>
      <c r="CPN2" s="2"/>
      <c r="CPO2" s="2"/>
      <c r="CPP2" s="2"/>
      <c r="CPQ2" s="2"/>
      <c r="CPR2" s="2"/>
      <c r="CPS2" s="2"/>
      <c r="CPT2" s="2"/>
      <c r="CPU2" s="2" t="s">
        <v>0</v>
      </c>
      <c r="CPV2" s="2"/>
      <c r="CPW2" s="2"/>
      <c r="CPX2" s="2"/>
      <c r="CPY2" s="2"/>
      <c r="CPZ2" s="2"/>
      <c r="CQA2" s="2"/>
      <c r="CQB2" s="2"/>
      <c r="CQC2" s="2"/>
      <c r="CQD2" s="2"/>
      <c r="CQE2" s="2"/>
      <c r="CQF2" s="2"/>
      <c r="CQG2" s="2"/>
      <c r="CQH2" s="2"/>
      <c r="CQI2" s="2"/>
      <c r="CQJ2" s="2"/>
      <c r="CQK2" s="2" t="s">
        <v>0</v>
      </c>
      <c r="CQL2" s="2"/>
      <c r="CQM2" s="2"/>
      <c r="CQN2" s="2"/>
      <c r="CQO2" s="2"/>
      <c r="CQP2" s="2"/>
      <c r="CQQ2" s="2"/>
      <c r="CQR2" s="2"/>
      <c r="CQS2" s="2"/>
      <c r="CQT2" s="2"/>
      <c r="CQU2" s="2"/>
      <c r="CQV2" s="2"/>
      <c r="CQW2" s="2"/>
      <c r="CQX2" s="2"/>
      <c r="CQY2" s="2"/>
      <c r="CQZ2" s="2"/>
      <c r="CRA2" s="2" t="s">
        <v>0</v>
      </c>
      <c r="CRB2" s="2"/>
      <c r="CRC2" s="2"/>
      <c r="CRD2" s="2"/>
      <c r="CRE2" s="2"/>
      <c r="CRF2" s="2"/>
      <c r="CRG2" s="2"/>
      <c r="CRH2" s="2"/>
      <c r="CRI2" s="2"/>
      <c r="CRJ2" s="2"/>
      <c r="CRK2" s="2"/>
      <c r="CRL2" s="2"/>
      <c r="CRM2" s="2"/>
      <c r="CRN2" s="2"/>
      <c r="CRO2" s="2"/>
      <c r="CRP2" s="2"/>
      <c r="CRQ2" s="2" t="s">
        <v>0</v>
      </c>
      <c r="CRR2" s="2"/>
      <c r="CRS2" s="2"/>
      <c r="CRT2" s="2"/>
      <c r="CRU2" s="2"/>
      <c r="CRV2" s="2"/>
      <c r="CRW2" s="2"/>
      <c r="CRX2" s="2"/>
      <c r="CRY2" s="2"/>
      <c r="CRZ2" s="2"/>
      <c r="CSA2" s="2"/>
      <c r="CSB2" s="2"/>
      <c r="CSC2" s="2"/>
      <c r="CSD2" s="2"/>
      <c r="CSE2" s="2"/>
      <c r="CSF2" s="2"/>
      <c r="CSG2" s="2" t="s">
        <v>0</v>
      </c>
      <c r="CSH2" s="2"/>
      <c r="CSI2" s="2"/>
      <c r="CSJ2" s="2"/>
      <c r="CSK2" s="2"/>
      <c r="CSL2" s="2"/>
      <c r="CSM2" s="2"/>
      <c r="CSN2" s="2"/>
      <c r="CSO2" s="2"/>
      <c r="CSP2" s="2"/>
      <c r="CSQ2" s="2"/>
      <c r="CSR2" s="2"/>
      <c r="CSS2" s="2"/>
      <c r="CST2" s="2"/>
      <c r="CSU2" s="2"/>
      <c r="CSV2" s="2"/>
      <c r="CSW2" s="2" t="s">
        <v>0</v>
      </c>
      <c r="CSX2" s="2"/>
      <c r="CSY2" s="2"/>
      <c r="CSZ2" s="2"/>
      <c r="CTA2" s="2"/>
      <c r="CTB2" s="2"/>
      <c r="CTC2" s="2"/>
      <c r="CTD2" s="2"/>
      <c r="CTE2" s="2"/>
      <c r="CTF2" s="2"/>
      <c r="CTG2" s="2"/>
      <c r="CTH2" s="2"/>
      <c r="CTI2" s="2"/>
      <c r="CTJ2" s="2"/>
      <c r="CTK2" s="2"/>
      <c r="CTL2" s="2"/>
      <c r="CTM2" s="2" t="s">
        <v>0</v>
      </c>
      <c r="CTN2" s="2"/>
      <c r="CTO2" s="2"/>
      <c r="CTP2" s="2"/>
      <c r="CTQ2" s="2"/>
      <c r="CTR2" s="2"/>
      <c r="CTS2" s="2"/>
      <c r="CTT2" s="2"/>
      <c r="CTU2" s="2"/>
      <c r="CTV2" s="2"/>
      <c r="CTW2" s="2"/>
      <c r="CTX2" s="2"/>
      <c r="CTY2" s="2"/>
      <c r="CTZ2" s="2"/>
      <c r="CUA2" s="2"/>
      <c r="CUB2" s="2"/>
      <c r="CUC2" s="2" t="s">
        <v>0</v>
      </c>
      <c r="CUD2" s="2"/>
      <c r="CUE2" s="2"/>
      <c r="CUF2" s="2"/>
      <c r="CUG2" s="2"/>
      <c r="CUH2" s="2"/>
      <c r="CUI2" s="2"/>
      <c r="CUJ2" s="2"/>
      <c r="CUK2" s="2"/>
      <c r="CUL2" s="2"/>
      <c r="CUM2" s="2"/>
      <c r="CUN2" s="2"/>
      <c r="CUO2" s="2"/>
      <c r="CUP2" s="2"/>
      <c r="CUQ2" s="2"/>
      <c r="CUR2" s="2"/>
      <c r="CUS2" s="2" t="s">
        <v>0</v>
      </c>
      <c r="CUT2" s="2"/>
      <c r="CUU2" s="2"/>
      <c r="CUV2" s="2"/>
      <c r="CUW2" s="2"/>
      <c r="CUX2" s="2"/>
      <c r="CUY2" s="2"/>
      <c r="CUZ2" s="2"/>
      <c r="CVA2" s="2"/>
      <c r="CVB2" s="2"/>
      <c r="CVC2" s="2"/>
      <c r="CVD2" s="2"/>
      <c r="CVE2" s="2"/>
      <c r="CVF2" s="2"/>
      <c r="CVG2" s="2"/>
      <c r="CVH2" s="2"/>
      <c r="CVI2" s="2" t="s">
        <v>0</v>
      </c>
      <c r="CVJ2" s="2"/>
      <c r="CVK2" s="2"/>
      <c r="CVL2" s="2"/>
      <c r="CVM2" s="2"/>
      <c r="CVN2" s="2"/>
      <c r="CVO2" s="2"/>
      <c r="CVP2" s="2"/>
      <c r="CVQ2" s="2"/>
      <c r="CVR2" s="2"/>
      <c r="CVS2" s="2"/>
      <c r="CVT2" s="2"/>
      <c r="CVU2" s="2"/>
      <c r="CVV2" s="2"/>
      <c r="CVW2" s="2"/>
      <c r="CVX2" s="2"/>
      <c r="CVY2" s="2" t="s">
        <v>0</v>
      </c>
      <c r="CVZ2" s="2"/>
      <c r="CWA2" s="2"/>
      <c r="CWB2" s="2"/>
      <c r="CWC2" s="2"/>
      <c r="CWD2" s="2"/>
      <c r="CWE2" s="2"/>
      <c r="CWF2" s="2"/>
      <c r="CWG2" s="2"/>
      <c r="CWH2" s="2"/>
      <c r="CWI2" s="2"/>
      <c r="CWJ2" s="2"/>
      <c r="CWK2" s="2"/>
      <c r="CWL2" s="2"/>
      <c r="CWM2" s="2"/>
      <c r="CWN2" s="2"/>
      <c r="CWO2" s="2" t="s">
        <v>0</v>
      </c>
      <c r="CWP2" s="2"/>
      <c r="CWQ2" s="2"/>
      <c r="CWR2" s="2"/>
      <c r="CWS2" s="2"/>
      <c r="CWT2" s="2"/>
      <c r="CWU2" s="2"/>
      <c r="CWV2" s="2"/>
      <c r="CWW2" s="2"/>
      <c r="CWX2" s="2"/>
      <c r="CWY2" s="2"/>
      <c r="CWZ2" s="2"/>
      <c r="CXA2" s="2"/>
      <c r="CXB2" s="2"/>
      <c r="CXC2" s="2"/>
      <c r="CXD2" s="2"/>
      <c r="CXE2" s="2" t="s">
        <v>0</v>
      </c>
      <c r="CXF2" s="2"/>
      <c r="CXG2" s="2"/>
      <c r="CXH2" s="2"/>
      <c r="CXI2" s="2"/>
      <c r="CXJ2" s="2"/>
      <c r="CXK2" s="2"/>
      <c r="CXL2" s="2"/>
      <c r="CXM2" s="2"/>
      <c r="CXN2" s="2"/>
      <c r="CXO2" s="2"/>
      <c r="CXP2" s="2"/>
      <c r="CXQ2" s="2"/>
      <c r="CXR2" s="2"/>
      <c r="CXS2" s="2"/>
      <c r="CXT2" s="2"/>
      <c r="CXU2" s="2" t="s">
        <v>0</v>
      </c>
      <c r="CXV2" s="2"/>
      <c r="CXW2" s="2"/>
      <c r="CXX2" s="2"/>
      <c r="CXY2" s="2"/>
      <c r="CXZ2" s="2"/>
      <c r="CYA2" s="2"/>
      <c r="CYB2" s="2"/>
      <c r="CYC2" s="2"/>
      <c r="CYD2" s="2"/>
      <c r="CYE2" s="2"/>
      <c r="CYF2" s="2"/>
      <c r="CYG2" s="2"/>
      <c r="CYH2" s="2"/>
      <c r="CYI2" s="2"/>
      <c r="CYJ2" s="2"/>
      <c r="CYK2" s="2" t="s">
        <v>0</v>
      </c>
      <c r="CYL2" s="2"/>
      <c r="CYM2" s="2"/>
      <c r="CYN2" s="2"/>
      <c r="CYO2" s="2"/>
      <c r="CYP2" s="2"/>
      <c r="CYQ2" s="2"/>
      <c r="CYR2" s="2"/>
      <c r="CYS2" s="2"/>
      <c r="CYT2" s="2"/>
      <c r="CYU2" s="2"/>
      <c r="CYV2" s="2"/>
      <c r="CYW2" s="2"/>
      <c r="CYX2" s="2"/>
      <c r="CYY2" s="2"/>
      <c r="CYZ2" s="2"/>
      <c r="CZA2" s="2" t="s">
        <v>0</v>
      </c>
      <c r="CZB2" s="2"/>
      <c r="CZC2" s="2"/>
      <c r="CZD2" s="2"/>
      <c r="CZE2" s="2"/>
      <c r="CZF2" s="2"/>
      <c r="CZG2" s="2"/>
      <c r="CZH2" s="2"/>
      <c r="CZI2" s="2"/>
      <c r="CZJ2" s="2"/>
      <c r="CZK2" s="2"/>
      <c r="CZL2" s="2"/>
      <c r="CZM2" s="2"/>
      <c r="CZN2" s="2"/>
      <c r="CZO2" s="2"/>
      <c r="CZP2" s="2"/>
      <c r="CZQ2" s="2" t="s">
        <v>0</v>
      </c>
      <c r="CZR2" s="2"/>
      <c r="CZS2" s="2"/>
      <c r="CZT2" s="2"/>
      <c r="CZU2" s="2"/>
      <c r="CZV2" s="2"/>
      <c r="CZW2" s="2"/>
      <c r="CZX2" s="2"/>
      <c r="CZY2" s="2"/>
      <c r="CZZ2" s="2"/>
      <c r="DAA2" s="2"/>
      <c r="DAB2" s="2"/>
      <c r="DAC2" s="2"/>
      <c r="DAD2" s="2"/>
      <c r="DAE2" s="2"/>
      <c r="DAF2" s="2"/>
      <c r="DAG2" s="2" t="s">
        <v>0</v>
      </c>
      <c r="DAH2" s="2"/>
      <c r="DAI2" s="2"/>
      <c r="DAJ2" s="2"/>
      <c r="DAK2" s="2"/>
      <c r="DAL2" s="2"/>
      <c r="DAM2" s="2"/>
      <c r="DAN2" s="2"/>
      <c r="DAO2" s="2"/>
      <c r="DAP2" s="2"/>
      <c r="DAQ2" s="2"/>
      <c r="DAR2" s="2"/>
      <c r="DAS2" s="2"/>
      <c r="DAT2" s="2"/>
      <c r="DAU2" s="2"/>
      <c r="DAV2" s="2"/>
      <c r="DAW2" s="2" t="s">
        <v>0</v>
      </c>
      <c r="DAX2" s="2"/>
      <c r="DAY2" s="2"/>
      <c r="DAZ2" s="2"/>
      <c r="DBA2" s="2"/>
      <c r="DBB2" s="2"/>
      <c r="DBC2" s="2"/>
      <c r="DBD2" s="2"/>
      <c r="DBE2" s="2"/>
      <c r="DBF2" s="2"/>
      <c r="DBG2" s="2"/>
      <c r="DBH2" s="2"/>
      <c r="DBI2" s="2"/>
      <c r="DBJ2" s="2"/>
      <c r="DBK2" s="2"/>
      <c r="DBL2" s="2"/>
      <c r="DBM2" s="2" t="s">
        <v>0</v>
      </c>
      <c r="DBN2" s="2"/>
      <c r="DBO2" s="2"/>
      <c r="DBP2" s="2"/>
      <c r="DBQ2" s="2"/>
      <c r="DBR2" s="2"/>
      <c r="DBS2" s="2"/>
      <c r="DBT2" s="2"/>
      <c r="DBU2" s="2"/>
      <c r="DBV2" s="2"/>
      <c r="DBW2" s="2"/>
      <c r="DBX2" s="2"/>
      <c r="DBY2" s="2"/>
      <c r="DBZ2" s="2"/>
      <c r="DCA2" s="2"/>
      <c r="DCB2" s="2"/>
      <c r="DCC2" s="2" t="s">
        <v>0</v>
      </c>
      <c r="DCD2" s="2"/>
      <c r="DCE2" s="2"/>
      <c r="DCF2" s="2"/>
      <c r="DCG2" s="2"/>
      <c r="DCH2" s="2"/>
      <c r="DCI2" s="2"/>
      <c r="DCJ2" s="2"/>
      <c r="DCK2" s="2"/>
      <c r="DCL2" s="2"/>
      <c r="DCM2" s="2"/>
      <c r="DCN2" s="2"/>
      <c r="DCO2" s="2"/>
      <c r="DCP2" s="2"/>
      <c r="DCQ2" s="2"/>
      <c r="DCR2" s="2"/>
      <c r="DCS2" s="2" t="s">
        <v>0</v>
      </c>
      <c r="DCT2" s="2"/>
      <c r="DCU2" s="2"/>
      <c r="DCV2" s="2"/>
      <c r="DCW2" s="2"/>
      <c r="DCX2" s="2"/>
      <c r="DCY2" s="2"/>
      <c r="DCZ2" s="2"/>
      <c r="DDA2" s="2"/>
      <c r="DDB2" s="2"/>
      <c r="DDC2" s="2"/>
      <c r="DDD2" s="2"/>
      <c r="DDE2" s="2"/>
      <c r="DDF2" s="2"/>
      <c r="DDG2" s="2"/>
      <c r="DDH2" s="2"/>
      <c r="DDI2" s="2" t="s">
        <v>0</v>
      </c>
      <c r="DDJ2" s="2"/>
      <c r="DDK2" s="2"/>
      <c r="DDL2" s="2"/>
      <c r="DDM2" s="2"/>
      <c r="DDN2" s="2"/>
      <c r="DDO2" s="2"/>
      <c r="DDP2" s="2"/>
      <c r="DDQ2" s="2"/>
      <c r="DDR2" s="2"/>
      <c r="DDS2" s="2"/>
      <c r="DDT2" s="2"/>
      <c r="DDU2" s="2"/>
      <c r="DDV2" s="2"/>
      <c r="DDW2" s="2"/>
      <c r="DDX2" s="2"/>
      <c r="DDY2" s="2" t="s">
        <v>0</v>
      </c>
      <c r="DDZ2" s="2"/>
      <c r="DEA2" s="2"/>
      <c r="DEB2" s="2"/>
      <c r="DEC2" s="2"/>
      <c r="DED2" s="2"/>
      <c r="DEE2" s="2"/>
      <c r="DEF2" s="2"/>
      <c r="DEG2" s="2"/>
      <c r="DEH2" s="2"/>
      <c r="DEI2" s="2"/>
      <c r="DEJ2" s="2"/>
      <c r="DEK2" s="2"/>
      <c r="DEL2" s="2"/>
      <c r="DEM2" s="2"/>
      <c r="DEN2" s="2"/>
      <c r="DEO2" s="2" t="s">
        <v>0</v>
      </c>
      <c r="DEP2" s="2"/>
      <c r="DEQ2" s="2"/>
      <c r="DER2" s="2"/>
      <c r="DES2" s="2"/>
      <c r="DET2" s="2"/>
      <c r="DEU2" s="2"/>
      <c r="DEV2" s="2"/>
      <c r="DEW2" s="2"/>
      <c r="DEX2" s="2"/>
      <c r="DEY2" s="2"/>
      <c r="DEZ2" s="2"/>
      <c r="DFA2" s="2"/>
      <c r="DFB2" s="2"/>
      <c r="DFC2" s="2"/>
      <c r="DFD2" s="2"/>
      <c r="DFE2" s="2" t="s">
        <v>0</v>
      </c>
      <c r="DFF2" s="2"/>
      <c r="DFG2" s="2"/>
      <c r="DFH2" s="2"/>
      <c r="DFI2" s="2"/>
      <c r="DFJ2" s="2"/>
      <c r="DFK2" s="2"/>
      <c r="DFL2" s="2"/>
      <c r="DFM2" s="2"/>
      <c r="DFN2" s="2"/>
      <c r="DFO2" s="2"/>
      <c r="DFP2" s="2"/>
      <c r="DFQ2" s="2"/>
      <c r="DFR2" s="2"/>
      <c r="DFS2" s="2"/>
      <c r="DFT2" s="2"/>
      <c r="DFU2" s="2" t="s">
        <v>0</v>
      </c>
      <c r="DFV2" s="2"/>
      <c r="DFW2" s="2"/>
      <c r="DFX2" s="2"/>
      <c r="DFY2" s="2"/>
      <c r="DFZ2" s="2"/>
      <c r="DGA2" s="2"/>
      <c r="DGB2" s="2"/>
      <c r="DGC2" s="2"/>
      <c r="DGD2" s="2"/>
      <c r="DGE2" s="2"/>
      <c r="DGF2" s="2"/>
      <c r="DGG2" s="2"/>
      <c r="DGH2" s="2"/>
      <c r="DGI2" s="2"/>
      <c r="DGJ2" s="2"/>
      <c r="DGK2" s="2" t="s">
        <v>0</v>
      </c>
      <c r="DGL2" s="2"/>
      <c r="DGM2" s="2"/>
      <c r="DGN2" s="2"/>
      <c r="DGO2" s="2"/>
      <c r="DGP2" s="2"/>
      <c r="DGQ2" s="2"/>
      <c r="DGR2" s="2"/>
      <c r="DGS2" s="2"/>
      <c r="DGT2" s="2"/>
      <c r="DGU2" s="2"/>
      <c r="DGV2" s="2"/>
      <c r="DGW2" s="2"/>
      <c r="DGX2" s="2"/>
      <c r="DGY2" s="2"/>
      <c r="DGZ2" s="2"/>
      <c r="DHA2" s="2" t="s">
        <v>0</v>
      </c>
      <c r="DHB2" s="2"/>
      <c r="DHC2" s="2"/>
      <c r="DHD2" s="2"/>
      <c r="DHE2" s="2"/>
      <c r="DHF2" s="2"/>
      <c r="DHG2" s="2"/>
      <c r="DHH2" s="2"/>
      <c r="DHI2" s="2"/>
      <c r="DHJ2" s="2"/>
      <c r="DHK2" s="2"/>
      <c r="DHL2" s="2"/>
      <c r="DHM2" s="2"/>
      <c r="DHN2" s="2"/>
      <c r="DHO2" s="2"/>
      <c r="DHP2" s="2"/>
      <c r="DHQ2" s="2" t="s">
        <v>0</v>
      </c>
      <c r="DHR2" s="2"/>
      <c r="DHS2" s="2"/>
      <c r="DHT2" s="2"/>
      <c r="DHU2" s="2"/>
      <c r="DHV2" s="2"/>
      <c r="DHW2" s="2"/>
      <c r="DHX2" s="2"/>
      <c r="DHY2" s="2"/>
      <c r="DHZ2" s="2"/>
      <c r="DIA2" s="2"/>
      <c r="DIB2" s="2"/>
      <c r="DIC2" s="2"/>
      <c r="DID2" s="2"/>
      <c r="DIE2" s="2"/>
      <c r="DIF2" s="2"/>
      <c r="DIG2" s="2" t="s">
        <v>0</v>
      </c>
      <c r="DIH2" s="2"/>
      <c r="DII2" s="2"/>
      <c r="DIJ2" s="2"/>
      <c r="DIK2" s="2"/>
      <c r="DIL2" s="2"/>
      <c r="DIM2" s="2"/>
      <c r="DIN2" s="2"/>
      <c r="DIO2" s="2"/>
      <c r="DIP2" s="2"/>
      <c r="DIQ2" s="2"/>
      <c r="DIR2" s="2"/>
      <c r="DIS2" s="2"/>
      <c r="DIT2" s="2"/>
      <c r="DIU2" s="2"/>
      <c r="DIV2" s="2"/>
      <c r="DIW2" s="2" t="s">
        <v>0</v>
      </c>
      <c r="DIX2" s="2"/>
      <c r="DIY2" s="2"/>
      <c r="DIZ2" s="2"/>
      <c r="DJA2" s="2"/>
      <c r="DJB2" s="2"/>
      <c r="DJC2" s="2"/>
      <c r="DJD2" s="2"/>
      <c r="DJE2" s="2"/>
      <c r="DJF2" s="2"/>
      <c r="DJG2" s="2"/>
      <c r="DJH2" s="2"/>
      <c r="DJI2" s="2"/>
      <c r="DJJ2" s="2"/>
      <c r="DJK2" s="2"/>
      <c r="DJL2" s="2"/>
      <c r="DJM2" s="2" t="s">
        <v>0</v>
      </c>
      <c r="DJN2" s="2"/>
      <c r="DJO2" s="2"/>
      <c r="DJP2" s="2"/>
      <c r="DJQ2" s="2"/>
      <c r="DJR2" s="2"/>
      <c r="DJS2" s="2"/>
      <c r="DJT2" s="2"/>
      <c r="DJU2" s="2"/>
      <c r="DJV2" s="2"/>
      <c r="DJW2" s="2"/>
      <c r="DJX2" s="2"/>
      <c r="DJY2" s="2"/>
      <c r="DJZ2" s="2"/>
      <c r="DKA2" s="2"/>
      <c r="DKB2" s="2"/>
      <c r="DKC2" s="2" t="s">
        <v>0</v>
      </c>
      <c r="DKD2" s="2"/>
      <c r="DKE2" s="2"/>
      <c r="DKF2" s="2"/>
      <c r="DKG2" s="2"/>
      <c r="DKH2" s="2"/>
      <c r="DKI2" s="2"/>
      <c r="DKJ2" s="2"/>
      <c r="DKK2" s="2"/>
      <c r="DKL2" s="2"/>
      <c r="DKM2" s="2"/>
      <c r="DKN2" s="2"/>
      <c r="DKO2" s="2"/>
      <c r="DKP2" s="2"/>
      <c r="DKQ2" s="2"/>
      <c r="DKR2" s="2"/>
      <c r="DKS2" s="2" t="s">
        <v>0</v>
      </c>
      <c r="DKT2" s="2"/>
      <c r="DKU2" s="2"/>
      <c r="DKV2" s="2"/>
      <c r="DKW2" s="2"/>
      <c r="DKX2" s="2"/>
      <c r="DKY2" s="2"/>
      <c r="DKZ2" s="2"/>
      <c r="DLA2" s="2"/>
      <c r="DLB2" s="2"/>
      <c r="DLC2" s="2"/>
      <c r="DLD2" s="2"/>
      <c r="DLE2" s="2"/>
      <c r="DLF2" s="2"/>
      <c r="DLG2" s="2"/>
      <c r="DLH2" s="2"/>
      <c r="DLI2" s="2" t="s">
        <v>0</v>
      </c>
      <c r="DLJ2" s="2"/>
      <c r="DLK2" s="2"/>
      <c r="DLL2" s="2"/>
      <c r="DLM2" s="2"/>
      <c r="DLN2" s="2"/>
      <c r="DLO2" s="2"/>
      <c r="DLP2" s="2"/>
      <c r="DLQ2" s="2"/>
      <c r="DLR2" s="2"/>
      <c r="DLS2" s="2"/>
      <c r="DLT2" s="2"/>
      <c r="DLU2" s="2"/>
      <c r="DLV2" s="2"/>
      <c r="DLW2" s="2"/>
      <c r="DLX2" s="2"/>
      <c r="DLY2" s="2" t="s">
        <v>0</v>
      </c>
      <c r="DLZ2" s="2"/>
      <c r="DMA2" s="2"/>
      <c r="DMB2" s="2"/>
      <c r="DMC2" s="2"/>
      <c r="DMD2" s="2"/>
      <c r="DME2" s="2"/>
      <c r="DMF2" s="2"/>
      <c r="DMG2" s="2"/>
      <c r="DMH2" s="2"/>
      <c r="DMI2" s="2"/>
      <c r="DMJ2" s="2"/>
      <c r="DMK2" s="2"/>
      <c r="DML2" s="2"/>
      <c r="DMM2" s="2"/>
      <c r="DMN2" s="2"/>
      <c r="DMO2" s="2" t="s">
        <v>0</v>
      </c>
      <c r="DMP2" s="2"/>
      <c r="DMQ2" s="2"/>
      <c r="DMR2" s="2"/>
      <c r="DMS2" s="2"/>
      <c r="DMT2" s="2"/>
      <c r="DMU2" s="2"/>
      <c r="DMV2" s="2"/>
      <c r="DMW2" s="2"/>
      <c r="DMX2" s="2"/>
      <c r="DMY2" s="2"/>
      <c r="DMZ2" s="2"/>
      <c r="DNA2" s="2"/>
      <c r="DNB2" s="2"/>
      <c r="DNC2" s="2"/>
      <c r="DND2" s="2"/>
      <c r="DNE2" s="2" t="s">
        <v>0</v>
      </c>
      <c r="DNF2" s="2"/>
      <c r="DNG2" s="2"/>
      <c r="DNH2" s="2"/>
      <c r="DNI2" s="2"/>
      <c r="DNJ2" s="2"/>
      <c r="DNK2" s="2"/>
      <c r="DNL2" s="2"/>
      <c r="DNM2" s="2"/>
      <c r="DNN2" s="2"/>
      <c r="DNO2" s="2"/>
      <c r="DNP2" s="2"/>
      <c r="DNQ2" s="2"/>
      <c r="DNR2" s="2"/>
      <c r="DNS2" s="2"/>
      <c r="DNT2" s="2"/>
      <c r="DNU2" s="2" t="s">
        <v>0</v>
      </c>
      <c r="DNV2" s="2"/>
      <c r="DNW2" s="2"/>
      <c r="DNX2" s="2"/>
      <c r="DNY2" s="2"/>
      <c r="DNZ2" s="2"/>
      <c r="DOA2" s="2"/>
      <c r="DOB2" s="2"/>
      <c r="DOC2" s="2"/>
      <c r="DOD2" s="2"/>
      <c r="DOE2" s="2"/>
      <c r="DOF2" s="2"/>
      <c r="DOG2" s="2"/>
      <c r="DOH2" s="2"/>
      <c r="DOI2" s="2"/>
      <c r="DOJ2" s="2"/>
      <c r="DOK2" s="2" t="s">
        <v>0</v>
      </c>
      <c r="DOL2" s="2"/>
      <c r="DOM2" s="2"/>
      <c r="DON2" s="2"/>
      <c r="DOO2" s="2"/>
      <c r="DOP2" s="2"/>
      <c r="DOQ2" s="2"/>
      <c r="DOR2" s="2"/>
      <c r="DOS2" s="2"/>
      <c r="DOT2" s="2"/>
      <c r="DOU2" s="2"/>
      <c r="DOV2" s="2"/>
      <c r="DOW2" s="2"/>
      <c r="DOX2" s="2"/>
      <c r="DOY2" s="2"/>
      <c r="DOZ2" s="2"/>
      <c r="DPA2" s="2" t="s">
        <v>0</v>
      </c>
      <c r="DPB2" s="2"/>
      <c r="DPC2" s="2"/>
      <c r="DPD2" s="2"/>
      <c r="DPE2" s="2"/>
      <c r="DPF2" s="2"/>
      <c r="DPG2" s="2"/>
      <c r="DPH2" s="2"/>
      <c r="DPI2" s="2"/>
      <c r="DPJ2" s="2"/>
      <c r="DPK2" s="2"/>
      <c r="DPL2" s="2"/>
      <c r="DPM2" s="2"/>
      <c r="DPN2" s="2"/>
      <c r="DPO2" s="2"/>
      <c r="DPP2" s="2"/>
      <c r="DPQ2" s="2" t="s">
        <v>0</v>
      </c>
      <c r="DPR2" s="2"/>
      <c r="DPS2" s="2"/>
      <c r="DPT2" s="2"/>
      <c r="DPU2" s="2"/>
      <c r="DPV2" s="2"/>
      <c r="DPW2" s="2"/>
      <c r="DPX2" s="2"/>
      <c r="DPY2" s="2"/>
      <c r="DPZ2" s="2"/>
      <c r="DQA2" s="2"/>
      <c r="DQB2" s="2"/>
      <c r="DQC2" s="2"/>
      <c r="DQD2" s="2"/>
      <c r="DQE2" s="2"/>
      <c r="DQF2" s="2"/>
      <c r="DQG2" s="2" t="s">
        <v>0</v>
      </c>
      <c r="DQH2" s="2"/>
      <c r="DQI2" s="2"/>
      <c r="DQJ2" s="2"/>
      <c r="DQK2" s="2"/>
      <c r="DQL2" s="2"/>
      <c r="DQM2" s="2"/>
      <c r="DQN2" s="2"/>
      <c r="DQO2" s="2"/>
      <c r="DQP2" s="2"/>
      <c r="DQQ2" s="2"/>
      <c r="DQR2" s="2"/>
      <c r="DQS2" s="2"/>
      <c r="DQT2" s="2"/>
      <c r="DQU2" s="2"/>
      <c r="DQV2" s="2"/>
      <c r="DQW2" s="2" t="s">
        <v>0</v>
      </c>
      <c r="DQX2" s="2"/>
      <c r="DQY2" s="2"/>
      <c r="DQZ2" s="2"/>
      <c r="DRA2" s="2"/>
      <c r="DRB2" s="2"/>
      <c r="DRC2" s="2"/>
      <c r="DRD2" s="2"/>
      <c r="DRE2" s="2"/>
      <c r="DRF2" s="2"/>
      <c r="DRG2" s="2"/>
      <c r="DRH2" s="2"/>
      <c r="DRI2" s="2"/>
      <c r="DRJ2" s="2"/>
      <c r="DRK2" s="2"/>
      <c r="DRL2" s="2"/>
      <c r="DRM2" s="2" t="s">
        <v>0</v>
      </c>
      <c r="DRN2" s="2"/>
      <c r="DRO2" s="2"/>
      <c r="DRP2" s="2"/>
      <c r="DRQ2" s="2"/>
      <c r="DRR2" s="2"/>
      <c r="DRS2" s="2"/>
      <c r="DRT2" s="2"/>
      <c r="DRU2" s="2"/>
      <c r="DRV2" s="2"/>
      <c r="DRW2" s="2"/>
      <c r="DRX2" s="2"/>
      <c r="DRY2" s="2"/>
      <c r="DRZ2" s="2"/>
      <c r="DSA2" s="2"/>
      <c r="DSB2" s="2"/>
      <c r="DSC2" s="2" t="s">
        <v>0</v>
      </c>
      <c r="DSD2" s="2"/>
      <c r="DSE2" s="2"/>
      <c r="DSF2" s="2"/>
      <c r="DSG2" s="2"/>
      <c r="DSH2" s="2"/>
      <c r="DSI2" s="2"/>
      <c r="DSJ2" s="2"/>
      <c r="DSK2" s="2"/>
      <c r="DSL2" s="2"/>
      <c r="DSM2" s="2"/>
      <c r="DSN2" s="2"/>
      <c r="DSO2" s="2"/>
      <c r="DSP2" s="2"/>
      <c r="DSQ2" s="2"/>
      <c r="DSR2" s="2"/>
      <c r="DSS2" s="2" t="s">
        <v>0</v>
      </c>
      <c r="DST2" s="2"/>
      <c r="DSU2" s="2"/>
      <c r="DSV2" s="2"/>
      <c r="DSW2" s="2"/>
      <c r="DSX2" s="2"/>
      <c r="DSY2" s="2"/>
      <c r="DSZ2" s="2"/>
      <c r="DTA2" s="2"/>
      <c r="DTB2" s="2"/>
      <c r="DTC2" s="2"/>
      <c r="DTD2" s="2"/>
      <c r="DTE2" s="2"/>
      <c r="DTF2" s="2"/>
      <c r="DTG2" s="2"/>
      <c r="DTH2" s="2"/>
      <c r="DTI2" s="2" t="s">
        <v>0</v>
      </c>
      <c r="DTJ2" s="2"/>
      <c r="DTK2" s="2"/>
      <c r="DTL2" s="2"/>
      <c r="DTM2" s="2"/>
      <c r="DTN2" s="2"/>
      <c r="DTO2" s="2"/>
      <c r="DTP2" s="2"/>
      <c r="DTQ2" s="2"/>
      <c r="DTR2" s="2"/>
      <c r="DTS2" s="2"/>
      <c r="DTT2" s="2"/>
      <c r="DTU2" s="2"/>
      <c r="DTV2" s="2"/>
      <c r="DTW2" s="2"/>
      <c r="DTX2" s="2"/>
      <c r="DTY2" s="2" t="s">
        <v>0</v>
      </c>
      <c r="DTZ2" s="2"/>
      <c r="DUA2" s="2"/>
      <c r="DUB2" s="2"/>
      <c r="DUC2" s="2"/>
      <c r="DUD2" s="2"/>
      <c r="DUE2" s="2"/>
      <c r="DUF2" s="2"/>
      <c r="DUG2" s="2"/>
      <c r="DUH2" s="2"/>
      <c r="DUI2" s="2"/>
      <c r="DUJ2" s="2"/>
      <c r="DUK2" s="2"/>
      <c r="DUL2" s="2"/>
      <c r="DUM2" s="2"/>
      <c r="DUN2" s="2"/>
      <c r="DUO2" s="2" t="s">
        <v>0</v>
      </c>
      <c r="DUP2" s="2"/>
      <c r="DUQ2" s="2"/>
      <c r="DUR2" s="2"/>
      <c r="DUS2" s="2"/>
      <c r="DUT2" s="2"/>
      <c r="DUU2" s="2"/>
      <c r="DUV2" s="2"/>
      <c r="DUW2" s="2"/>
      <c r="DUX2" s="2"/>
      <c r="DUY2" s="2"/>
      <c r="DUZ2" s="2"/>
      <c r="DVA2" s="2"/>
      <c r="DVB2" s="2"/>
      <c r="DVC2" s="2"/>
      <c r="DVD2" s="2"/>
      <c r="DVE2" s="2" t="s">
        <v>0</v>
      </c>
      <c r="DVF2" s="2"/>
      <c r="DVG2" s="2"/>
      <c r="DVH2" s="2"/>
      <c r="DVI2" s="2"/>
      <c r="DVJ2" s="2"/>
      <c r="DVK2" s="2"/>
      <c r="DVL2" s="2"/>
      <c r="DVM2" s="2"/>
      <c r="DVN2" s="2"/>
      <c r="DVO2" s="2"/>
      <c r="DVP2" s="2"/>
      <c r="DVQ2" s="2"/>
      <c r="DVR2" s="2"/>
      <c r="DVS2" s="2"/>
      <c r="DVT2" s="2"/>
      <c r="DVU2" s="2" t="s">
        <v>0</v>
      </c>
      <c r="DVV2" s="2"/>
      <c r="DVW2" s="2"/>
      <c r="DVX2" s="2"/>
      <c r="DVY2" s="2"/>
      <c r="DVZ2" s="2"/>
      <c r="DWA2" s="2"/>
      <c r="DWB2" s="2"/>
      <c r="DWC2" s="2"/>
      <c r="DWD2" s="2"/>
      <c r="DWE2" s="2"/>
      <c r="DWF2" s="2"/>
      <c r="DWG2" s="2"/>
      <c r="DWH2" s="2"/>
      <c r="DWI2" s="2"/>
      <c r="DWJ2" s="2"/>
      <c r="DWK2" s="2" t="s">
        <v>0</v>
      </c>
      <c r="DWL2" s="2"/>
      <c r="DWM2" s="2"/>
      <c r="DWN2" s="2"/>
      <c r="DWO2" s="2"/>
      <c r="DWP2" s="2"/>
      <c r="DWQ2" s="2"/>
      <c r="DWR2" s="2"/>
      <c r="DWS2" s="2"/>
      <c r="DWT2" s="2"/>
      <c r="DWU2" s="2"/>
      <c r="DWV2" s="2"/>
      <c r="DWW2" s="2"/>
      <c r="DWX2" s="2"/>
      <c r="DWY2" s="2"/>
      <c r="DWZ2" s="2"/>
      <c r="DXA2" s="2" t="s">
        <v>0</v>
      </c>
      <c r="DXB2" s="2"/>
      <c r="DXC2" s="2"/>
      <c r="DXD2" s="2"/>
      <c r="DXE2" s="2"/>
      <c r="DXF2" s="2"/>
      <c r="DXG2" s="2"/>
      <c r="DXH2" s="2"/>
      <c r="DXI2" s="2"/>
      <c r="DXJ2" s="2"/>
      <c r="DXK2" s="2"/>
      <c r="DXL2" s="2"/>
      <c r="DXM2" s="2"/>
      <c r="DXN2" s="2"/>
      <c r="DXO2" s="2"/>
      <c r="DXP2" s="2"/>
      <c r="DXQ2" s="2" t="s">
        <v>0</v>
      </c>
      <c r="DXR2" s="2"/>
      <c r="DXS2" s="2"/>
      <c r="DXT2" s="2"/>
      <c r="DXU2" s="2"/>
      <c r="DXV2" s="2"/>
      <c r="DXW2" s="2"/>
      <c r="DXX2" s="2"/>
      <c r="DXY2" s="2"/>
      <c r="DXZ2" s="2"/>
      <c r="DYA2" s="2"/>
      <c r="DYB2" s="2"/>
      <c r="DYC2" s="2"/>
      <c r="DYD2" s="2"/>
      <c r="DYE2" s="2"/>
      <c r="DYF2" s="2"/>
      <c r="DYG2" s="2" t="s">
        <v>0</v>
      </c>
      <c r="DYH2" s="2"/>
      <c r="DYI2" s="2"/>
      <c r="DYJ2" s="2"/>
      <c r="DYK2" s="2"/>
      <c r="DYL2" s="2"/>
      <c r="DYM2" s="2"/>
      <c r="DYN2" s="2"/>
      <c r="DYO2" s="2"/>
      <c r="DYP2" s="2"/>
      <c r="DYQ2" s="2"/>
      <c r="DYR2" s="2"/>
      <c r="DYS2" s="2"/>
      <c r="DYT2" s="2"/>
      <c r="DYU2" s="2"/>
      <c r="DYV2" s="2"/>
      <c r="DYW2" s="2" t="s">
        <v>0</v>
      </c>
      <c r="DYX2" s="2"/>
      <c r="DYY2" s="2"/>
      <c r="DYZ2" s="2"/>
      <c r="DZA2" s="2"/>
      <c r="DZB2" s="2"/>
      <c r="DZC2" s="2"/>
      <c r="DZD2" s="2"/>
      <c r="DZE2" s="2"/>
      <c r="DZF2" s="2"/>
      <c r="DZG2" s="2"/>
      <c r="DZH2" s="2"/>
      <c r="DZI2" s="2"/>
      <c r="DZJ2" s="2"/>
      <c r="DZK2" s="2"/>
      <c r="DZL2" s="2"/>
      <c r="DZM2" s="2" t="s">
        <v>0</v>
      </c>
      <c r="DZN2" s="2"/>
      <c r="DZO2" s="2"/>
      <c r="DZP2" s="2"/>
      <c r="DZQ2" s="2"/>
      <c r="DZR2" s="2"/>
      <c r="DZS2" s="2"/>
      <c r="DZT2" s="2"/>
      <c r="DZU2" s="2"/>
      <c r="DZV2" s="2"/>
      <c r="DZW2" s="2"/>
      <c r="DZX2" s="2"/>
      <c r="DZY2" s="2"/>
      <c r="DZZ2" s="2"/>
      <c r="EAA2" s="2"/>
      <c r="EAB2" s="2"/>
      <c r="EAC2" s="2" t="s">
        <v>0</v>
      </c>
      <c r="EAD2" s="2"/>
      <c r="EAE2" s="2"/>
      <c r="EAF2" s="2"/>
      <c r="EAG2" s="2"/>
      <c r="EAH2" s="2"/>
      <c r="EAI2" s="2"/>
      <c r="EAJ2" s="2"/>
      <c r="EAK2" s="2"/>
      <c r="EAL2" s="2"/>
      <c r="EAM2" s="2"/>
      <c r="EAN2" s="2"/>
      <c r="EAO2" s="2"/>
      <c r="EAP2" s="2"/>
      <c r="EAQ2" s="2"/>
      <c r="EAR2" s="2"/>
      <c r="EAS2" s="2" t="s">
        <v>0</v>
      </c>
      <c r="EAT2" s="2"/>
      <c r="EAU2" s="2"/>
      <c r="EAV2" s="2"/>
      <c r="EAW2" s="2"/>
      <c r="EAX2" s="2"/>
      <c r="EAY2" s="2"/>
      <c r="EAZ2" s="2"/>
      <c r="EBA2" s="2"/>
      <c r="EBB2" s="2"/>
      <c r="EBC2" s="2"/>
      <c r="EBD2" s="2"/>
      <c r="EBE2" s="2"/>
      <c r="EBF2" s="2"/>
      <c r="EBG2" s="2"/>
      <c r="EBH2" s="2"/>
      <c r="EBI2" s="2" t="s">
        <v>0</v>
      </c>
      <c r="EBJ2" s="2"/>
      <c r="EBK2" s="2"/>
      <c r="EBL2" s="2"/>
      <c r="EBM2" s="2"/>
      <c r="EBN2" s="2"/>
      <c r="EBO2" s="2"/>
      <c r="EBP2" s="2"/>
      <c r="EBQ2" s="2"/>
      <c r="EBR2" s="2"/>
      <c r="EBS2" s="2"/>
      <c r="EBT2" s="2"/>
      <c r="EBU2" s="2"/>
      <c r="EBV2" s="2"/>
      <c r="EBW2" s="2"/>
      <c r="EBX2" s="2"/>
      <c r="EBY2" s="2" t="s">
        <v>0</v>
      </c>
      <c r="EBZ2" s="2"/>
      <c r="ECA2" s="2"/>
      <c r="ECB2" s="2"/>
      <c r="ECC2" s="2"/>
      <c r="ECD2" s="2"/>
      <c r="ECE2" s="2"/>
      <c r="ECF2" s="2"/>
      <c r="ECG2" s="2"/>
      <c r="ECH2" s="2"/>
      <c r="ECI2" s="2"/>
      <c r="ECJ2" s="2"/>
      <c r="ECK2" s="2"/>
      <c r="ECL2" s="2"/>
      <c r="ECM2" s="2"/>
      <c r="ECN2" s="2"/>
      <c r="ECO2" s="2" t="s">
        <v>0</v>
      </c>
      <c r="ECP2" s="2"/>
      <c r="ECQ2" s="2"/>
      <c r="ECR2" s="2"/>
      <c r="ECS2" s="2"/>
      <c r="ECT2" s="2"/>
      <c r="ECU2" s="2"/>
      <c r="ECV2" s="2"/>
      <c r="ECW2" s="2"/>
      <c r="ECX2" s="2"/>
      <c r="ECY2" s="2"/>
      <c r="ECZ2" s="2"/>
      <c r="EDA2" s="2"/>
      <c r="EDB2" s="2"/>
      <c r="EDC2" s="2"/>
      <c r="EDD2" s="2"/>
      <c r="EDE2" s="2" t="s">
        <v>0</v>
      </c>
      <c r="EDF2" s="2"/>
      <c r="EDG2" s="2"/>
      <c r="EDH2" s="2"/>
      <c r="EDI2" s="2"/>
      <c r="EDJ2" s="2"/>
      <c r="EDK2" s="2"/>
      <c r="EDL2" s="2"/>
      <c r="EDM2" s="2"/>
      <c r="EDN2" s="2"/>
      <c r="EDO2" s="2"/>
      <c r="EDP2" s="2"/>
      <c r="EDQ2" s="2"/>
      <c r="EDR2" s="2"/>
      <c r="EDS2" s="2"/>
      <c r="EDT2" s="2"/>
      <c r="EDU2" s="2" t="s">
        <v>0</v>
      </c>
      <c r="EDV2" s="2"/>
      <c r="EDW2" s="2"/>
      <c r="EDX2" s="2"/>
      <c r="EDY2" s="2"/>
      <c r="EDZ2" s="2"/>
      <c r="EEA2" s="2"/>
      <c r="EEB2" s="2"/>
      <c r="EEC2" s="2"/>
      <c r="EED2" s="2"/>
      <c r="EEE2" s="2"/>
      <c r="EEF2" s="2"/>
      <c r="EEG2" s="2"/>
      <c r="EEH2" s="2"/>
      <c r="EEI2" s="2"/>
      <c r="EEJ2" s="2"/>
      <c r="EEK2" s="2" t="s">
        <v>0</v>
      </c>
      <c r="EEL2" s="2"/>
      <c r="EEM2" s="2"/>
      <c r="EEN2" s="2"/>
      <c r="EEO2" s="2"/>
      <c r="EEP2" s="2"/>
      <c r="EEQ2" s="2"/>
      <c r="EER2" s="2"/>
      <c r="EES2" s="2"/>
      <c r="EET2" s="2"/>
      <c r="EEU2" s="2"/>
      <c r="EEV2" s="2"/>
      <c r="EEW2" s="2"/>
      <c r="EEX2" s="2"/>
      <c r="EEY2" s="2"/>
      <c r="EEZ2" s="2"/>
      <c r="EFA2" s="2" t="s">
        <v>0</v>
      </c>
      <c r="EFB2" s="2"/>
      <c r="EFC2" s="2"/>
      <c r="EFD2" s="2"/>
      <c r="EFE2" s="2"/>
      <c r="EFF2" s="2"/>
      <c r="EFG2" s="2"/>
      <c r="EFH2" s="2"/>
      <c r="EFI2" s="2"/>
      <c r="EFJ2" s="2"/>
      <c r="EFK2" s="2"/>
      <c r="EFL2" s="2"/>
      <c r="EFM2" s="2"/>
      <c r="EFN2" s="2"/>
      <c r="EFO2" s="2"/>
      <c r="EFP2" s="2"/>
      <c r="EFQ2" s="2" t="s">
        <v>0</v>
      </c>
      <c r="EFR2" s="2"/>
      <c r="EFS2" s="2"/>
      <c r="EFT2" s="2"/>
      <c r="EFU2" s="2"/>
      <c r="EFV2" s="2"/>
      <c r="EFW2" s="2"/>
      <c r="EFX2" s="2"/>
      <c r="EFY2" s="2"/>
      <c r="EFZ2" s="2"/>
      <c r="EGA2" s="2"/>
      <c r="EGB2" s="2"/>
      <c r="EGC2" s="2"/>
      <c r="EGD2" s="2"/>
      <c r="EGE2" s="2"/>
      <c r="EGF2" s="2"/>
      <c r="EGG2" s="2" t="s">
        <v>0</v>
      </c>
      <c r="EGH2" s="2"/>
      <c r="EGI2" s="2"/>
      <c r="EGJ2" s="2"/>
      <c r="EGK2" s="2"/>
      <c r="EGL2" s="2"/>
      <c r="EGM2" s="2"/>
      <c r="EGN2" s="2"/>
      <c r="EGO2" s="2"/>
      <c r="EGP2" s="2"/>
      <c r="EGQ2" s="2"/>
      <c r="EGR2" s="2"/>
      <c r="EGS2" s="2"/>
      <c r="EGT2" s="2"/>
      <c r="EGU2" s="2"/>
      <c r="EGV2" s="2"/>
      <c r="EGW2" s="2" t="s">
        <v>0</v>
      </c>
      <c r="EGX2" s="2"/>
      <c r="EGY2" s="2"/>
      <c r="EGZ2" s="2"/>
      <c r="EHA2" s="2"/>
      <c r="EHB2" s="2"/>
      <c r="EHC2" s="2"/>
      <c r="EHD2" s="2"/>
      <c r="EHE2" s="2"/>
      <c r="EHF2" s="2"/>
      <c r="EHG2" s="2"/>
      <c r="EHH2" s="2"/>
      <c r="EHI2" s="2"/>
      <c r="EHJ2" s="2"/>
      <c r="EHK2" s="2"/>
      <c r="EHL2" s="2"/>
      <c r="EHM2" s="2" t="s">
        <v>0</v>
      </c>
      <c r="EHN2" s="2"/>
      <c r="EHO2" s="2"/>
      <c r="EHP2" s="2"/>
      <c r="EHQ2" s="2"/>
      <c r="EHR2" s="2"/>
      <c r="EHS2" s="2"/>
      <c r="EHT2" s="2"/>
      <c r="EHU2" s="2"/>
      <c r="EHV2" s="2"/>
      <c r="EHW2" s="2"/>
      <c r="EHX2" s="2"/>
      <c r="EHY2" s="2"/>
      <c r="EHZ2" s="2"/>
      <c r="EIA2" s="2"/>
      <c r="EIB2" s="2"/>
      <c r="EIC2" s="2" t="s">
        <v>0</v>
      </c>
      <c r="EID2" s="2"/>
      <c r="EIE2" s="2"/>
      <c r="EIF2" s="2"/>
      <c r="EIG2" s="2"/>
      <c r="EIH2" s="2"/>
      <c r="EII2" s="2"/>
      <c r="EIJ2" s="2"/>
      <c r="EIK2" s="2"/>
      <c r="EIL2" s="2"/>
      <c r="EIM2" s="2"/>
      <c r="EIN2" s="2"/>
      <c r="EIO2" s="2"/>
      <c r="EIP2" s="2"/>
      <c r="EIQ2" s="2"/>
      <c r="EIR2" s="2"/>
      <c r="EIS2" s="2" t="s">
        <v>0</v>
      </c>
      <c r="EIT2" s="2"/>
      <c r="EIU2" s="2"/>
      <c r="EIV2" s="2"/>
      <c r="EIW2" s="2"/>
      <c r="EIX2" s="2"/>
      <c r="EIY2" s="2"/>
      <c r="EIZ2" s="2"/>
      <c r="EJA2" s="2"/>
      <c r="EJB2" s="2"/>
      <c r="EJC2" s="2"/>
      <c r="EJD2" s="2"/>
      <c r="EJE2" s="2"/>
      <c r="EJF2" s="2"/>
      <c r="EJG2" s="2"/>
      <c r="EJH2" s="2"/>
      <c r="EJI2" s="2" t="s">
        <v>0</v>
      </c>
      <c r="EJJ2" s="2"/>
      <c r="EJK2" s="2"/>
      <c r="EJL2" s="2"/>
      <c r="EJM2" s="2"/>
      <c r="EJN2" s="2"/>
      <c r="EJO2" s="2"/>
      <c r="EJP2" s="2"/>
      <c r="EJQ2" s="2"/>
      <c r="EJR2" s="2"/>
      <c r="EJS2" s="2"/>
      <c r="EJT2" s="2"/>
      <c r="EJU2" s="2"/>
      <c r="EJV2" s="2"/>
      <c r="EJW2" s="2"/>
      <c r="EJX2" s="2"/>
      <c r="EJY2" s="2" t="s">
        <v>0</v>
      </c>
      <c r="EJZ2" s="2"/>
      <c r="EKA2" s="2"/>
      <c r="EKB2" s="2"/>
      <c r="EKC2" s="2"/>
      <c r="EKD2" s="2"/>
      <c r="EKE2" s="2"/>
      <c r="EKF2" s="2"/>
      <c r="EKG2" s="2"/>
      <c r="EKH2" s="2"/>
      <c r="EKI2" s="2"/>
      <c r="EKJ2" s="2"/>
      <c r="EKK2" s="2"/>
      <c r="EKL2" s="2"/>
      <c r="EKM2" s="2"/>
      <c r="EKN2" s="2"/>
      <c r="EKO2" s="2" t="s">
        <v>0</v>
      </c>
      <c r="EKP2" s="2"/>
      <c r="EKQ2" s="2"/>
      <c r="EKR2" s="2"/>
      <c r="EKS2" s="2"/>
      <c r="EKT2" s="2"/>
      <c r="EKU2" s="2"/>
      <c r="EKV2" s="2"/>
      <c r="EKW2" s="2"/>
      <c r="EKX2" s="2"/>
      <c r="EKY2" s="2"/>
      <c r="EKZ2" s="2"/>
      <c r="ELA2" s="2"/>
      <c r="ELB2" s="2"/>
      <c r="ELC2" s="2"/>
      <c r="ELD2" s="2"/>
      <c r="ELE2" s="2" t="s">
        <v>0</v>
      </c>
      <c r="ELF2" s="2"/>
      <c r="ELG2" s="2"/>
      <c r="ELH2" s="2"/>
      <c r="ELI2" s="2"/>
      <c r="ELJ2" s="2"/>
      <c r="ELK2" s="2"/>
      <c r="ELL2" s="2"/>
      <c r="ELM2" s="2"/>
      <c r="ELN2" s="2"/>
      <c r="ELO2" s="2"/>
      <c r="ELP2" s="2"/>
      <c r="ELQ2" s="2"/>
      <c r="ELR2" s="2"/>
      <c r="ELS2" s="2"/>
      <c r="ELT2" s="2"/>
      <c r="ELU2" s="2" t="s">
        <v>0</v>
      </c>
      <c r="ELV2" s="2"/>
      <c r="ELW2" s="2"/>
      <c r="ELX2" s="2"/>
      <c r="ELY2" s="2"/>
      <c r="ELZ2" s="2"/>
      <c r="EMA2" s="2"/>
      <c r="EMB2" s="2"/>
      <c r="EMC2" s="2"/>
      <c r="EMD2" s="2"/>
      <c r="EME2" s="2"/>
      <c r="EMF2" s="2"/>
      <c r="EMG2" s="2"/>
      <c r="EMH2" s="2"/>
      <c r="EMI2" s="2"/>
      <c r="EMJ2" s="2"/>
      <c r="EMK2" s="2" t="s">
        <v>0</v>
      </c>
      <c r="EML2" s="2"/>
      <c r="EMM2" s="2"/>
      <c r="EMN2" s="2"/>
      <c r="EMO2" s="2"/>
      <c r="EMP2" s="2"/>
      <c r="EMQ2" s="2"/>
      <c r="EMR2" s="2"/>
      <c r="EMS2" s="2"/>
      <c r="EMT2" s="2"/>
      <c r="EMU2" s="2"/>
      <c r="EMV2" s="2"/>
      <c r="EMW2" s="2"/>
      <c r="EMX2" s="2"/>
      <c r="EMY2" s="2"/>
      <c r="EMZ2" s="2"/>
      <c r="ENA2" s="2" t="s">
        <v>0</v>
      </c>
      <c r="ENB2" s="2"/>
      <c r="ENC2" s="2"/>
      <c r="END2" s="2"/>
      <c r="ENE2" s="2"/>
      <c r="ENF2" s="2"/>
      <c r="ENG2" s="2"/>
      <c r="ENH2" s="2"/>
      <c r="ENI2" s="2"/>
      <c r="ENJ2" s="2"/>
      <c r="ENK2" s="2"/>
      <c r="ENL2" s="2"/>
      <c r="ENM2" s="2"/>
      <c r="ENN2" s="2"/>
      <c r="ENO2" s="2"/>
      <c r="ENP2" s="2"/>
      <c r="ENQ2" s="2" t="s">
        <v>0</v>
      </c>
      <c r="ENR2" s="2"/>
      <c r="ENS2" s="2"/>
      <c r="ENT2" s="2"/>
      <c r="ENU2" s="2"/>
      <c r="ENV2" s="2"/>
      <c r="ENW2" s="2"/>
      <c r="ENX2" s="2"/>
      <c r="ENY2" s="2"/>
      <c r="ENZ2" s="2"/>
      <c r="EOA2" s="2"/>
      <c r="EOB2" s="2"/>
      <c r="EOC2" s="2"/>
      <c r="EOD2" s="2"/>
      <c r="EOE2" s="2"/>
      <c r="EOF2" s="2"/>
      <c r="EOG2" s="2" t="s">
        <v>0</v>
      </c>
      <c r="EOH2" s="2"/>
      <c r="EOI2" s="2"/>
      <c r="EOJ2" s="2"/>
      <c r="EOK2" s="2"/>
      <c r="EOL2" s="2"/>
      <c r="EOM2" s="2"/>
      <c r="EON2" s="2"/>
      <c r="EOO2" s="2"/>
      <c r="EOP2" s="2"/>
      <c r="EOQ2" s="2"/>
      <c r="EOR2" s="2"/>
      <c r="EOS2" s="2"/>
      <c r="EOT2" s="2"/>
      <c r="EOU2" s="2"/>
      <c r="EOV2" s="2"/>
      <c r="EOW2" s="2" t="s">
        <v>0</v>
      </c>
      <c r="EOX2" s="2"/>
      <c r="EOY2" s="2"/>
      <c r="EOZ2" s="2"/>
      <c r="EPA2" s="2"/>
      <c r="EPB2" s="2"/>
      <c r="EPC2" s="2"/>
      <c r="EPD2" s="2"/>
      <c r="EPE2" s="2"/>
      <c r="EPF2" s="2"/>
      <c r="EPG2" s="2"/>
      <c r="EPH2" s="2"/>
      <c r="EPI2" s="2"/>
      <c r="EPJ2" s="2"/>
      <c r="EPK2" s="2"/>
      <c r="EPL2" s="2"/>
      <c r="EPM2" s="2" t="s">
        <v>0</v>
      </c>
      <c r="EPN2" s="2"/>
      <c r="EPO2" s="2"/>
      <c r="EPP2" s="2"/>
      <c r="EPQ2" s="2"/>
      <c r="EPR2" s="2"/>
      <c r="EPS2" s="2"/>
      <c r="EPT2" s="2"/>
      <c r="EPU2" s="2"/>
      <c r="EPV2" s="2"/>
      <c r="EPW2" s="2"/>
      <c r="EPX2" s="2"/>
      <c r="EPY2" s="2"/>
      <c r="EPZ2" s="2"/>
      <c r="EQA2" s="2"/>
      <c r="EQB2" s="2"/>
      <c r="EQC2" s="2" t="s">
        <v>0</v>
      </c>
      <c r="EQD2" s="2"/>
      <c r="EQE2" s="2"/>
      <c r="EQF2" s="2"/>
      <c r="EQG2" s="2"/>
      <c r="EQH2" s="2"/>
      <c r="EQI2" s="2"/>
      <c r="EQJ2" s="2"/>
      <c r="EQK2" s="2"/>
      <c r="EQL2" s="2"/>
      <c r="EQM2" s="2"/>
      <c r="EQN2" s="2"/>
      <c r="EQO2" s="2"/>
      <c r="EQP2" s="2"/>
      <c r="EQQ2" s="2"/>
      <c r="EQR2" s="2"/>
      <c r="EQS2" s="2" t="s">
        <v>0</v>
      </c>
      <c r="EQT2" s="2"/>
      <c r="EQU2" s="2"/>
      <c r="EQV2" s="2"/>
      <c r="EQW2" s="2"/>
      <c r="EQX2" s="2"/>
      <c r="EQY2" s="2"/>
      <c r="EQZ2" s="2"/>
      <c r="ERA2" s="2"/>
      <c r="ERB2" s="2"/>
      <c r="ERC2" s="2"/>
      <c r="ERD2" s="2"/>
      <c r="ERE2" s="2"/>
      <c r="ERF2" s="2"/>
      <c r="ERG2" s="2"/>
      <c r="ERH2" s="2"/>
      <c r="ERI2" s="2" t="s">
        <v>0</v>
      </c>
      <c r="ERJ2" s="2"/>
      <c r="ERK2" s="2"/>
      <c r="ERL2" s="2"/>
      <c r="ERM2" s="2"/>
      <c r="ERN2" s="2"/>
      <c r="ERO2" s="2"/>
      <c r="ERP2" s="2"/>
      <c r="ERQ2" s="2"/>
      <c r="ERR2" s="2"/>
      <c r="ERS2" s="2"/>
      <c r="ERT2" s="2"/>
      <c r="ERU2" s="2"/>
      <c r="ERV2" s="2"/>
      <c r="ERW2" s="2"/>
      <c r="ERX2" s="2"/>
      <c r="ERY2" s="2" t="s">
        <v>0</v>
      </c>
      <c r="ERZ2" s="2"/>
      <c r="ESA2" s="2"/>
      <c r="ESB2" s="2"/>
      <c r="ESC2" s="2"/>
      <c r="ESD2" s="2"/>
      <c r="ESE2" s="2"/>
      <c r="ESF2" s="2"/>
      <c r="ESG2" s="2"/>
      <c r="ESH2" s="2"/>
      <c r="ESI2" s="2"/>
      <c r="ESJ2" s="2"/>
      <c r="ESK2" s="2"/>
      <c r="ESL2" s="2"/>
      <c r="ESM2" s="2"/>
      <c r="ESN2" s="2"/>
      <c r="ESO2" s="2" t="s">
        <v>0</v>
      </c>
      <c r="ESP2" s="2"/>
      <c r="ESQ2" s="2"/>
      <c r="ESR2" s="2"/>
      <c r="ESS2" s="2"/>
      <c r="EST2" s="2"/>
      <c r="ESU2" s="2"/>
      <c r="ESV2" s="2"/>
      <c r="ESW2" s="2"/>
      <c r="ESX2" s="2"/>
      <c r="ESY2" s="2"/>
      <c r="ESZ2" s="2"/>
      <c r="ETA2" s="2"/>
      <c r="ETB2" s="2"/>
      <c r="ETC2" s="2"/>
      <c r="ETD2" s="2"/>
      <c r="ETE2" s="2" t="s">
        <v>0</v>
      </c>
      <c r="ETF2" s="2"/>
      <c r="ETG2" s="2"/>
      <c r="ETH2" s="2"/>
      <c r="ETI2" s="2"/>
      <c r="ETJ2" s="2"/>
      <c r="ETK2" s="2"/>
      <c r="ETL2" s="2"/>
      <c r="ETM2" s="2"/>
      <c r="ETN2" s="2"/>
      <c r="ETO2" s="2"/>
      <c r="ETP2" s="2"/>
      <c r="ETQ2" s="2"/>
      <c r="ETR2" s="2"/>
      <c r="ETS2" s="2"/>
      <c r="ETT2" s="2"/>
      <c r="ETU2" s="2" t="s">
        <v>0</v>
      </c>
      <c r="ETV2" s="2"/>
      <c r="ETW2" s="2"/>
      <c r="ETX2" s="2"/>
      <c r="ETY2" s="2"/>
      <c r="ETZ2" s="2"/>
      <c r="EUA2" s="2"/>
      <c r="EUB2" s="2"/>
      <c r="EUC2" s="2"/>
      <c r="EUD2" s="2"/>
      <c r="EUE2" s="2"/>
      <c r="EUF2" s="2"/>
      <c r="EUG2" s="2"/>
      <c r="EUH2" s="2"/>
      <c r="EUI2" s="2"/>
      <c r="EUJ2" s="2"/>
      <c r="EUK2" s="2" t="s">
        <v>0</v>
      </c>
      <c r="EUL2" s="2"/>
      <c r="EUM2" s="2"/>
      <c r="EUN2" s="2"/>
      <c r="EUO2" s="2"/>
      <c r="EUP2" s="2"/>
      <c r="EUQ2" s="2"/>
      <c r="EUR2" s="2"/>
      <c r="EUS2" s="2"/>
      <c r="EUT2" s="2"/>
      <c r="EUU2" s="2"/>
      <c r="EUV2" s="2"/>
      <c r="EUW2" s="2"/>
      <c r="EUX2" s="2"/>
      <c r="EUY2" s="2"/>
      <c r="EUZ2" s="2"/>
      <c r="EVA2" s="2" t="s">
        <v>0</v>
      </c>
      <c r="EVB2" s="2"/>
      <c r="EVC2" s="2"/>
      <c r="EVD2" s="2"/>
      <c r="EVE2" s="2"/>
      <c r="EVF2" s="2"/>
      <c r="EVG2" s="2"/>
      <c r="EVH2" s="2"/>
      <c r="EVI2" s="2"/>
      <c r="EVJ2" s="2"/>
      <c r="EVK2" s="2"/>
      <c r="EVL2" s="2"/>
      <c r="EVM2" s="2"/>
      <c r="EVN2" s="2"/>
      <c r="EVO2" s="2"/>
      <c r="EVP2" s="2"/>
      <c r="EVQ2" s="2" t="s">
        <v>0</v>
      </c>
      <c r="EVR2" s="2"/>
      <c r="EVS2" s="2"/>
      <c r="EVT2" s="2"/>
      <c r="EVU2" s="2"/>
      <c r="EVV2" s="2"/>
      <c r="EVW2" s="2"/>
      <c r="EVX2" s="2"/>
      <c r="EVY2" s="2"/>
      <c r="EVZ2" s="2"/>
      <c r="EWA2" s="2"/>
      <c r="EWB2" s="2"/>
      <c r="EWC2" s="2"/>
      <c r="EWD2" s="2"/>
      <c r="EWE2" s="2"/>
      <c r="EWF2" s="2"/>
      <c r="EWG2" s="2" t="s">
        <v>0</v>
      </c>
      <c r="EWH2" s="2"/>
      <c r="EWI2" s="2"/>
      <c r="EWJ2" s="2"/>
      <c r="EWK2" s="2"/>
      <c r="EWL2" s="2"/>
      <c r="EWM2" s="2"/>
      <c r="EWN2" s="2"/>
      <c r="EWO2" s="2"/>
      <c r="EWP2" s="2"/>
      <c r="EWQ2" s="2"/>
      <c r="EWR2" s="2"/>
      <c r="EWS2" s="2"/>
      <c r="EWT2" s="2"/>
      <c r="EWU2" s="2"/>
      <c r="EWV2" s="2"/>
      <c r="EWW2" s="2" t="s">
        <v>0</v>
      </c>
      <c r="EWX2" s="2"/>
      <c r="EWY2" s="2"/>
      <c r="EWZ2" s="2"/>
      <c r="EXA2" s="2"/>
      <c r="EXB2" s="2"/>
      <c r="EXC2" s="2"/>
      <c r="EXD2" s="2"/>
      <c r="EXE2" s="2"/>
      <c r="EXF2" s="2"/>
      <c r="EXG2" s="2"/>
      <c r="EXH2" s="2"/>
      <c r="EXI2" s="2"/>
      <c r="EXJ2" s="2"/>
      <c r="EXK2" s="2"/>
      <c r="EXL2" s="2"/>
      <c r="EXM2" s="2" t="s">
        <v>0</v>
      </c>
      <c r="EXN2" s="2"/>
      <c r="EXO2" s="2"/>
      <c r="EXP2" s="2"/>
      <c r="EXQ2" s="2"/>
      <c r="EXR2" s="2"/>
      <c r="EXS2" s="2"/>
      <c r="EXT2" s="2"/>
      <c r="EXU2" s="2"/>
      <c r="EXV2" s="2"/>
      <c r="EXW2" s="2"/>
      <c r="EXX2" s="2"/>
      <c r="EXY2" s="2"/>
      <c r="EXZ2" s="2"/>
      <c r="EYA2" s="2"/>
      <c r="EYB2" s="2"/>
      <c r="EYC2" s="2" t="s">
        <v>0</v>
      </c>
      <c r="EYD2" s="2"/>
      <c r="EYE2" s="2"/>
      <c r="EYF2" s="2"/>
      <c r="EYG2" s="2"/>
      <c r="EYH2" s="2"/>
      <c r="EYI2" s="2"/>
      <c r="EYJ2" s="2"/>
      <c r="EYK2" s="2"/>
      <c r="EYL2" s="2"/>
      <c r="EYM2" s="2"/>
      <c r="EYN2" s="2"/>
      <c r="EYO2" s="2"/>
      <c r="EYP2" s="2"/>
      <c r="EYQ2" s="2"/>
      <c r="EYR2" s="2"/>
      <c r="EYS2" s="2" t="s">
        <v>0</v>
      </c>
      <c r="EYT2" s="2"/>
      <c r="EYU2" s="2"/>
      <c r="EYV2" s="2"/>
      <c r="EYW2" s="2"/>
      <c r="EYX2" s="2"/>
      <c r="EYY2" s="2"/>
      <c r="EYZ2" s="2"/>
      <c r="EZA2" s="2"/>
      <c r="EZB2" s="2"/>
      <c r="EZC2" s="2"/>
      <c r="EZD2" s="2"/>
      <c r="EZE2" s="2"/>
      <c r="EZF2" s="2"/>
      <c r="EZG2" s="2"/>
      <c r="EZH2" s="2"/>
      <c r="EZI2" s="2" t="s">
        <v>0</v>
      </c>
      <c r="EZJ2" s="2"/>
      <c r="EZK2" s="2"/>
      <c r="EZL2" s="2"/>
      <c r="EZM2" s="2"/>
      <c r="EZN2" s="2"/>
      <c r="EZO2" s="2"/>
      <c r="EZP2" s="2"/>
      <c r="EZQ2" s="2"/>
      <c r="EZR2" s="2"/>
      <c r="EZS2" s="2"/>
      <c r="EZT2" s="2"/>
      <c r="EZU2" s="2"/>
      <c r="EZV2" s="2"/>
      <c r="EZW2" s="2"/>
      <c r="EZX2" s="2"/>
      <c r="EZY2" s="2" t="s">
        <v>0</v>
      </c>
      <c r="EZZ2" s="2"/>
      <c r="FAA2" s="2"/>
      <c r="FAB2" s="2"/>
      <c r="FAC2" s="2"/>
      <c r="FAD2" s="2"/>
      <c r="FAE2" s="2"/>
      <c r="FAF2" s="2"/>
      <c r="FAG2" s="2"/>
      <c r="FAH2" s="2"/>
      <c r="FAI2" s="2"/>
      <c r="FAJ2" s="2"/>
      <c r="FAK2" s="2"/>
      <c r="FAL2" s="2"/>
      <c r="FAM2" s="2"/>
      <c r="FAN2" s="2"/>
      <c r="FAO2" s="2" t="s">
        <v>0</v>
      </c>
      <c r="FAP2" s="2"/>
      <c r="FAQ2" s="2"/>
      <c r="FAR2" s="2"/>
      <c r="FAS2" s="2"/>
      <c r="FAT2" s="2"/>
      <c r="FAU2" s="2"/>
      <c r="FAV2" s="2"/>
      <c r="FAW2" s="2"/>
      <c r="FAX2" s="2"/>
      <c r="FAY2" s="2"/>
      <c r="FAZ2" s="2"/>
      <c r="FBA2" s="2"/>
      <c r="FBB2" s="2"/>
      <c r="FBC2" s="2"/>
      <c r="FBD2" s="2"/>
      <c r="FBE2" s="2" t="s">
        <v>0</v>
      </c>
      <c r="FBF2" s="2"/>
      <c r="FBG2" s="2"/>
      <c r="FBH2" s="2"/>
      <c r="FBI2" s="2"/>
      <c r="FBJ2" s="2"/>
      <c r="FBK2" s="2"/>
      <c r="FBL2" s="2"/>
      <c r="FBM2" s="2"/>
      <c r="FBN2" s="2"/>
      <c r="FBO2" s="2"/>
      <c r="FBP2" s="2"/>
      <c r="FBQ2" s="2"/>
      <c r="FBR2" s="2"/>
      <c r="FBS2" s="2"/>
      <c r="FBT2" s="2"/>
      <c r="FBU2" s="2" t="s">
        <v>0</v>
      </c>
      <c r="FBV2" s="2"/>
      <c r="FBW2" s="2"/>
      <c r="FBX2" s="2"/>
      <c r="FBY2" s="2"/>
      <c r="FBZ2" s="2"/>
      <c r="FCA2" s="2"/>
      <c r="FCB2" s="2"/>
      <c r="FCC2" s="2"/>
      <c r="FCD2" s="2"/>
      <c r="FCE2" s="2"/>
      <c r="FCF2" s="2"/>
      <c r="FCG2" s="2"/>
      <c r="FCH2" s="2"/>
      <c r="FCI2" s="2"/>
      <c r="FCJ2" s="2"/>
      <c r="FCK2" s="2" t="s">
        <v>0</v>
      </c>
      <c r="FCL2" s="2"/>
      <c r="FCM2" s="2"/>
      <c r="FCN2" s="2"/>
      <c r="FCO2" s="2"/>
      <c r="FCP2" s="2"/>
      <c r="FCQ2" s="2"/>
      <c r="FCR2" s="2"/>
      <c r="FCS2" s="2"/>
      <c r="FCT2" s="2"/>
      <c r="FCU2" s="2"/>
      <c r="FCV2" s="2"/>
      <c r="FCW2" s="2"/>
      <c r="FCX2" s="2"/>
      <c r="FCY2" s="2"/>
      <c r="FCZ2" s="2"/>
      <c r="FDA2" s="2" t="s">
        <v>0</v>
      </c>
      <c r="FDB2" s="2"/>
      <c r="FDC2" s="2"/>
      <c r="FDD2" s="2"/>
      <c r="FDE2" s="2"/>
      <c r="FDF2" s="2"/>
      <c r="FDG2" s="2"/>
      <c r="FDH2" s="2"/>
      <c r="FDI2" s="2"/>
      <c r="FDJ2" s="2"/>
      <c r="FDK2" s="2"/>
      <c r="FDL2" s="2"/>
      <c r="FDM2" s="2"/>
      <c r="FDN2" s="2"/>
      <c r="FDO2" s="2"/>
      <c r="FDP2" s="2"/>
      <c r="FDQ2" s="2" t="s">
        <v>0</v>
      </c>
      <c r="FDR2" s="2"/>
      <c r="FDS2" s="2"/>
      <c r="FDT2" s="2"/>
      <c r="FDU2" s="2"/>
      <c r="FDV2" s="2"/>
      <c r="FDW2" s="2"/>
      <c r="FDX2" s="2"/>
      <c r="FDY2" s="2"/>
      <c r="FDZ2" s="2"/>
      <c r="FEA2" s="2"/>
      <c r="FEB2" s="2"/>
      <c r="FEC2" s="2"/>
      <c r="FED2" s="2"/>
      <c r="FEE2" s="2"/>
      <c r="FEF2" s="2"/>
      <c r="FEG2" s="2" t="s">
        <v>0</v>
      </c>
      <c r="FEH2" s="2"/>
      <c r="FEI2" s="2"/>
      <c r="FEJ2" s="2"/>
      <c r="FEK2" s="2"/>
      <c r="FEL2" s="2"/>
      <c r="FEM2" s="2"/>
      <c r="FEN2" s="2"/>
      <c r="FEO2" s="2"/>
      <c r="FEP2" s="2"/>
      <c r="FEQ2" s="2"/>
      <c r="FER2" s="2"/>
      <c r="FES2" s="2"/>
      <c r="FET2" s="2"/>
      <c r="FEU2" s="2"/>
      <c r="FEV2" s="2"/>
      <c r="FEW2" s="2" t="s">
        <v>0</v>
      </c>
      <c r="FEX2" s="2"/>
      <c r="FEY2" s="2"/>
      <c r="FEZ2" s="2"/>
      <c r="FFA2" s="2"/>
      <c r="FFB2" s="2"/>
      <c r="FFC2" s="2"/>
      <c r="FFD2" s="2"/>
      <c r="FFE2" s="2"/>
      <c r="FFF2" s="2"/>
      <c r="FFG2" s="2"/>
      <c r="FFH2" s="2"/>
      <c r="FFI2" s="2"/>
      <c r="FFJ2" s="2"/>
      <c r="FFK2" s="2"/>
      <c r="FFL2" s="2"/>
      <c r="FFM2" s="2" t="s">
        <v>0</v>
      </c>
      <c r="FFN2" s="2"/>
      <c r="FFO2" s="2"/>
      <c r="FFP2" s="2"/>
      <c r="FFQ2" s="2"/>
      <c r="FFR2" s="2"/>
      <c r="FFS2" s="2"/>
      <c r="FFT2" s="2"/>
      <c r="FFU2" s="2"/>
      <c r="FFV2" s="2"/>
      <c r="FFW2" s="2"/>
      <c r="FFX2" s="2"/>
      <c r="FFY2" s="2"/>
      <c r="FFZ2" s="2"/>
      <c r="FGA2" s="2"/>
      <c r="FGB2" s="2"/>
      <c r="FGC2" s="2" t="s">
        <v>0</v>
      </c>
      <c r="FGD2" s="2"/>
      <c r="FGE2" s="2"/>
      <c r="FGF2" s="2"/>
      <c r="FGG2" s="2"/>
      <c r="FGH2" s="2"/>
      <c r="FGI2" s="2"/>
      <c r="FGJ2" s="2"/>
      <c r="FGK2" s="2"/>
      <c r="FGL2" s="2"/>
      <c r="FGM2" s="2"/>
      <c r="FGN2" s="2"/>
      <c r="FGO2" s="2"/>
      <c r="FGP2" s="2"/>
      <c r="FGQ2" s="2"/>
      <c r="FGR2" s="2"/>
      <c r="FGS2" s="2" t="s">
        <v>0</v>
      </c>
      <c r="FGT2" s="2"/>
      <c r="FGU2" s="2"/>
      <c r="FGV2" s="2"/>
      <c r="FGW2" s="2"/>
      <c r="FGX2" s="2"/>
      <c r="FGY2" s="2"/>
      <c r="FGZ2" s="2"/>
      <c r="FHA2" s="2"/>
      <c r="FHB2" s="2"/>
      <c r="FHC2" s="2"/>
      <c r="FHD2" s="2"/>
      <c r="FHE2" s="2"/>
      <c r="FHF2" s="2"/>
      <c r="FHG2" s="2"/>
      <c r="FHH2" s="2"/>
      <c r="FHI2" s="2" t="s">
        <v>0</v>
      </c>
      <c r="FHJ2" s="2"/>
      <c r="FHK2" s="2"/>
      <c r="FHL2" s="2"/>
      <c r="FHM2" s="2"/>
      <c r="FHN2" s="2"/>
      <c r="FHO2" s="2"/>
      <c r="FHP2" s="2"/>
      <c r="FHQ2" s="2"/>
      <c r="FHR2" s="2"/>
      <c r="FHS2" s="2"/>
      <c r="FHT2" s="2"/>
      <c r="FHU2" s="2"/>
      <c r="FHV2" s="2"/>
      <c r="FHW2" s="2"/>
      <c r="FHX2" s="2"/>
      <c r="FHY2" s="2" t="s">
        <v>0</v>
      </c>
      <c r="FHZ2" s="2"/>
      <c r="FIA2" s="2"/>
      <c r="FIB2" s="2"/>
      <c r="FIC2" s="2"/>
      <c r="FID2" s="2"/>
      <c r="FIE2" s="2"/>
      <c r="FIF2" s="2"/>
      <c r="FIG2" s="2"/>
      <c r="FIH2" s="2"/>
      <c r="FII2" s="2"/>
      <c r="FIJ2" s="2"/>
      <c r="FIK2" s="2"/>
      <c r="FIL2" s="2"/>
      <c r="FIM2" s="2"/>
      <c r="FIN2" s="2"/>
      <c r="FIO2" s="2" t="s">
        <v>0</v>
      </c>
      <c r="FIP2" s="2"/>
      <c r="FIQ2" s="2"/>
      <c r="FIR2" s="2"/>
      <c r="FIS2" s="2"/>
      <c r="FIT2" s="2"/>
      <c r="FIU2" s="2"/>
      <c r="FIV2" s="2"/>
      <c r="FIW2" s="2"/>
      <c r="FIX2" s="2"/>
      <c r="FIY2" s="2"/>
      <c r="FIZ2" s="2"/>
      <c r="FJA2" s="2"/>
      <c r="FJB2" s="2"/>
      <c r="FJC2" s="2"/>
      <c r="FJD2" s="2"/>
      <c r="FJE2" s="2" t="s">
        <v>0</v>
      </c>
      <c r="FJF2" s="2"/>
      <c r="FJG2" s="2"/>
      <c r="FJH2" s="2"/>
      <c r="FJI2" s="2"/>
      <c r="FJJ2" s="2"/>
      <c r="FJK2" s="2"/>
      <c r="FJL2" s="2"/>
      <c r="FJM2" s="2"/>
      <c r="FJN2" s="2"/>
      <c r="FJO2" s="2"/>
      <c r="FJP2" s="2"/>
      <c r="FJQ2" s="2"/>
      <c r="FJR2" s="2"/>
      <c r="FJS2" s="2"/>
      <c r="FJT2" s="2"/>
      <c r="FJU2" s="2" t="s">
        <v>0</v>
      </c>
      <c r="FJV2" s="2"/>
      <c r="FJW2" s="2"/>
      <c r="FJX2" s="2"/>
      <c r="FJY2" s="2"/>
      <c r="FJZ2" s="2"/>
      <c r="FKA2" s="2"/>
      <c r="FKB2" s="2"/>
      <c r="FKC2" s="2"/>
      <c r="FKD2" s="2"/>
      <c r="FKE2" s="2"/>
      <c r="FKF2" s="2"/>
      <c r="FKG2" s="2"/>
      <c r="FKH2" s="2"/>
      <c r="FKI2" s="2"/>
      <c r="FKJ2" s="2"/>
      <c r="FKK2" s="2" t="s">
        <v>0</v>
      </c>
      <c r="FKL2" s="2"/>
      <c r="FKM2" s="2"/>
      <c r="FKN2" s="2"/>
      <c r="FKO2" s="2"/>
      <c r="FKP2" s="2"/>
      <c r="FKQ2" s="2"/>
      <c r="FKR2" s="2"/>
      <c r="FKS2" s="2"/>
      <c r="FKT2" s="2"/>
      <c r="FKU2" s="2"/>
      <c r="FKV2" s="2"/>
      <c r="FKW2" s="2"/>
      <c r="FKX2" s="2"/>
      <c r="FKY2" s="2"/>
      <c r="FKZ2" s="2"/>
      <c r="FLA2" s="2" t="s">
        <v>0</v>
      </c>
      <c r="FLB2" s="2"/>
      <c r="FLC2" s="2"/>
      <c r="FLD2" s="2"/>
      <c r="FLE2" s="2"/>
      <c r="FLF2" s="2"/>
      <c r="FLG2" s="2"/>
      <c r="FLH2" s="2"/>
      <c r="FLI2" s="2"/>
      <c r="FLJ2" s="2"/>
      <c r="FLK2" s="2"/>
      <c r="FLL2" s="2"/>
      <c r="FLM2" s="2"/>
      <c r="FLN2" s="2"/>
      <c r="FLO2" s="2"/>
      <c r="FLP2" s="2"/>
      <c r="FLQ2" s="2" t="s">
        <v>0</v>
      </c>
      <c r="FLR2" s="2"/>
      <c r="FLS2" s="2"/>
      <c r="FLT2" s="2"/>
      <c r="FLU2" s="2"/>
      <c r="FLV2" s="2"/>
      <c r="FLW2" s="2"/>
      <c r="FLX2" s="2"/>
      <c r="FLY2" s="2"/>
      <c r="FLZ2" s="2"/>
      <c r="FMA2" s="2"/>
      <c r="FMB2" s="2"/>
      <c r="FMC2" s="2"/>
      <c r="FMD2" s="2"/>
      <c r="FME2" s="2"/>
      <c r="FMF2" s="2"/>
      <c r="FMG2" s="2" t="s">
        <v>0</v>
      </c>
      <c r="FMH2" s="2"/>
      <c r="FMI2" s="2"/>
      <c r="FMJ2" s="2"/>
      <c r="FMK2" s="2"/>
      <c r="FML2" s="2"/>
      <c r="FMM2" s="2"/>
      <c r="FMN2" s="2"/>
      <c r="FMO2" s="2"/>
      <c r="FMP2" s="2"/>
      <c r="FMQ2" s="2"/>
      <c r="FMR2" s="2"/>
      <c r="FMS2" s="2"/>
      <c r="FMT2" s="2"/>
      <c r="FMU2" s="2"/>
      <c r="FMV2" s="2"/>
      <c r="FMW2" s="2" t="s">
        <v>0</v>
      </c>
      <c r="FMX2" s="2"/>
      <c r="FMY2" s="2"/>
      <c r="FMZ2" s="2"/>
      <c r="FNA2" s="2"/>
      <c r="FNB2" s="2"/>
      <c r="FNC2" s="2"/>
      <c r="FND2" s="2"/>
      <c r="FNE2" s="2"/>
      <c r="FNF2" s="2"/>
      <c r="FNG2" s="2"/>
      <c r="FNH2" s="2"/>
      <c r="FNI2" s="2"/>
      <c r="FNJ2" s="2"/>
      <c r="FNK2" s="2"/>
      <c r="FNL2" s="2"/>
      <c r="FNM2" s="2" t="s">
        <v>0</v>
      </c>
      <c r="FNN2" s="2"/>
      <c r="FNO2" s="2"/>
      <c r="FNP2" s="2"/>
      <c r="FNQ2" s="2"/>
      <c r="FNR2" s="2"/>
      <c r="FNS2" s="2"/>
      <c r="FNT2" s="2"/>
      <c r="FNU2" s="2"/>
      <c r="FNV2" s="2"/>
      <c r="FNW2" s="2"/>
      <c r="FNX2" s="2"/>
      <c r="FNY2" s="2"/>
      <c r="FNZ2" s="2"/>
      <c r="FOA2" s="2"/>
      <c r="FOB2" s="2"/>
      <c r="FOC2" s="2" t="s">
        <v>0</v>
      </c>
      <c r="FOD2" s="2"/>
      <c r="FOE2" s="2"/>
      <c r="FOF2" s="2"/>
      <c r="FOG2" s="2"/>
      <c r="FOH2" s="2"/>
      <c r="FOI2" s="2"/>
      <c r="FOJ2" s="2"/>
      <c r="FOK2" s="2"/>
      <c r="FOL2" s="2"/>
      <c r="FOM2" s="2"/>
      <c r="FON2" s="2"/>
      <c r="FOO2" s="2"/>
      <c r="FOP2" s="2"/>
      <c r="FOQ2" s="2"/>
      <c r="FOR2" s="2"/>
      <c r="FOS2" s="2" t="s">
        <v>0</v>
      </c>
      <c r="FOT2" s="2"/>
      <c r="FOU2" s="2"/>
      <c r="FOV2" s="2"/>
      <c r="FOW2" s="2"/>
      <c r="FOX2" s="2"/>
      <c r="FOY2" s="2"/>
      <c r="FOZ2" s="2"/>
      <c r="FPA2" s="2"/>
      <c r="FPB2" s="2"/>
      <c r="FPC2" s="2"/>
      <c r="FPD2" s="2"/>
      <c r="FPE2" s="2"/>
      <c r="FPF2" s="2"/>
      <c r="FPG2" s="2"/>
      <c r="FPH2" s="2"/>
      <c r="FPI2" s="2" t="s">
        <v>0</v>
      </c>
      <c r="FPJ2" s="2"/>
      <c r="FPK2" s="2"/>
      <c r="FPL2" s="2"/>
      <c r="FPM2" s="2"/>
      <c r="FPN2" s="2"/>
      <c r="FPO2" s="2"/>
      <c r="FPP2" s="2"/>
      <c r="FPQ2" s="2"/>
      <c r="FPR2" s="2"/>
      <c r="FPS2" s="2"/>
      <c r="FPT2" s="2"/>
      <c r="FPU2" s="2"/>
      <c r="FPV2" s="2"/>
      <c r="FPW2" s="2"/>
      <c r="FPX2" s="2"/>
      <c r="FPY2" s="2" t="s">
        <v>0</v>
      </c>
      <c r="FPZ2" s="2"/>
      <c r="FQA2" s="2"/>
      <c r="FQB2" s="2"/>
      <c r="FQC2" s="2"/>
      <c r="FQD2" s="2"/>
      <c r="FQE2" s="2"/>
      <c r="FQF2" s="2"/>
      <c r="FQG2" s="2"/>
      <c r="FQH2" s="2"/>
      <c r="FQI2" s="2"/>
      <c r="FQJ2" s="2"/>
      <c r="FQK2" s="2"/>
      <c r="FQL2" s="2"/>
      <c r="FQM2" s="2"/>
      <c r="FQN2" s="2"/>
      <c r="FQO2" s="2" t="s">
        <v>0</v>
      </c>
      <c r="FQP2" s="2"/>
      <c r="FQQ2" s="2"/>
      <c r="FQR2" s="2"/>
      <c r="FQS2" s="2"/>
      <c r="FQT2" s="2"/>
      <c r="FQU2" s="2"/>
      <c r="FQV2" s="2"/>
      <c r="FQW2" s="2"/>
      <c r="FQX2" s="2"/>
      <c r="FQY2" s="2"/>
      <c r="FQZ2" s="2"/>
      <c r="FRA2" s="2"/>
      <c r="FRB2" s="2"/>
      <c r="FRC2" s="2"/>
      <c r="FRD2" s="2"/>
      <c r="FRE2" s="2" t="s">
        <v>0</v>
      </c>
      <c r="FRF2" s="2"/>
      <c r="FRG2" s="2"/>
      <c r="FRH2" s="2"/>
      <c r="FRI2" s="2"/>
      <c r="FRJ2" s="2"/>
      <c r="FRK2" s="2"/>
      <c r="FRL2" s="2"/>
      <c r="FRM2" s="2"/>
      <c r="FRN2" s="2"/>
      <c r="FRO2" s="2"/>
      <c r="FRP2" s="2"/>
      <c r="FRQ2" s="2"/>
      <c r="FRR2" s="2"/>
      <c r="FRS2" s="2"/>
      <c r="FRT2" s="2"/>
      <c r="FRU2" s="2" t="s">
        <v>0</v>
      </c>
      <c r="FRV2" s="2"/>
      <c r="FRW2" s="2"/>
      <c r="FRX2" s="2"/>
      <c r="FRY2" s="2"/>
      <c r="FRZ2" s="2"/>
      <c r="FSA2" s="2"/>
      <c r="FSB2" s="2"/>
      <c r="FSC2" s="2"/>
      <c r="FSD2" s="2"/>
      <c r="FSE2" s="2"/>
      <c r="FSF2" s="2"/>
      <c r="FSG2" s="2"/>
      <c r="FSH2" s="2"/>
      <c r="FSI2" s="2"/>
      <c r="FSJ2" s="2"/>
      <c r="FSK2" s="2" t="s">
        <v>0</v>
      </c>
      <c r="FSL2" s="2"/>
      <c r="FSM2" s="2"/>
      <c r="FSN2" s="2"/>
      <c r="FSO2" s="2"/>
      <c r="FSP2" s="2"/>
      <c r="FSQ2" s="2"/>
      <c r="FSR2" s="2"/>
      <c r="FSS2" s="2"/>
      <c r="FST2" s="2"/>
      <c r="FSU2" s="2"/>
      <c r="FSV2" s="2"/>
      <c r="FSW2" s="2"/>
      <c r="FSX2" s="2"/>
      <c r="FSY2" s="2"/>
      <c r="FSZ2" s="2"/>
      <c r="FTA2" s="2" t="s">
        <v>0</v>
      </c>
      <c r="FTB2" s="2"/>
      <c r="FTC2" s="2"/>
      <c r="FTD2" s="2"/>
      <c r="FTE2" s="2"/>
      <c r="FTF2" s="2"/>
      <c r="FTG2" s="2"/>
      <c r="FTH2" s="2"/>
      <c r="FTI2" s="2"/>
      <c r="FTJ2" s="2"/>
      <c r="FTK2" s="2"/>
      <c r="FTL2" s="2"/>
      <c r="FTM2" s="2"/>
      <c r="FTN2" s="2"/>
      <c r="FTO2" s="2"/>
      <c r="FTP2" s="2"/>
      <c r="FTQ2" s="2" t="s">
        <v>0</v>
      </c>
      <c r="FTR2" s="2"/>
      <c r="FTS2" s="2"/>
      <c r="FTT2" s="2"/>
      <c r="FTU2" s="2"/>
      <c r="FTV2" s="2"/>
      <c r="FTW2" s="2"/>
      <c r="FTX2" s="2"/>
      <c r="FTY2" s="2"/>
      <c r="FTZ2" s="2"/>
      <c r="FUA2" s="2"/>
      <c r="FUB2" s="2"/>
      <c r="FUC2" s="2"/>
      <c r="FUD2" s="2"/>
      <c r="FUE2" s="2"/>
      <c r="FUF2" s="2"/>
      <c r="FUG2" s="2" t="s">
        <v>0</v>
      </c>
      <c r="FUH2" s="2"/>
      <c r="FUI2" s="2"/>
      <c r="FUJ2" s="2"/>
      <c r="FUK2" s="2"/>
      <c r="FUL2" s="2"/>
      <c r="FUM2" s="2"/>
      <c r="FUN2" s="2"/>
      <c r="FUO2" s="2"/>
      <c r="FUP2" s="2"/>
      <c r="FUQ2" s="2"/>
      <c r="FUR2" s="2"/>
      <c r="FUS2" s="2"/>
      <c r="FUT2" s="2"/>
      <c r="FUU2" s="2"/>
      <c r="FUV2" s="2"/>
      <c r="FUW2" s="2" t="s">
        <v>0</v>
      </c>
      <c r="FUX2" s="2"/>
      <c r="FUY2" s="2"/>
      <c r="FUZ2" s="2"/>
      <c r="FVA2" s="2"/>
      <c r="FVB2" s="2"/>
      <c r="FVC2" s="2"/>
      <c r="FVD2" s="2"/>
      <c r="FVE2" s="2"/>
      <c r="FVF2" s="2"/>
      <c r="FVG2" s="2"/>
      <c r="FVH2" s="2"/>
      <c r="FVI2" s="2"/>
      <c r="FVJ2" s="2"/>
      <c r="FVK2" s="2"/>
      <c r="FVL2" s="2"/>
      <c r="FVM2" s="2" t="s">
        <v>0</v>
      </c>
      <c r="FVN2" s="2"/>
      <c r="FVO2" s="2"/>
      <c r="FVP2" s="2"/>
      <c r="FVQ2" s="2"/>
      <c r="FVR2" s="2"/>
      <c r="FVS2" s="2"/>
      <c r="FVT2" s="2"/>
      <c r="FVU2" s="2"/>
      <c r="FVV2" s="2"/>
      <c r="FVW2" s="2"/>
      <c r="FVX2" s="2"/>
      <c r="FVY2" s="2"/>
      <c r="FVZ2" s="2"/>
      <c r="FWA2" s="2"/>
      <c r="FWB2" s="2"/>
      <c r="FWC2" s="2" t="s">
        <v>0</v>
      </c>
      <c r="FWD2" s="2"/>
      <c r="FWE2" s="2"/>
      <c r="FWF2" s="2"/>
      <c r="FWG2" s="2"/>
      <c r="FWH2" s="2"/>
      <c r="FWI2" s="2"/>
      <c r="FWJ2" s="2"/>
      <c r="FWK2" s="2"/>
      <c r="FWL2" s="2"/>
      <c r="FWM2" s="2"/>
      <c r="FWN2" s="2"/>
      <c r="FWO2" s="2"/>
      <c r="FWP2" s="2"/>
      <c r="FWQ2" s="2"/>
      <c r="FWR2" s="2"/>
      <c r="FWS2" s="2" t="s">
        <v>0</v>
      </c>
      <c r="FWT2" s="2"/>
      <c r="FWU2" s="2"/>
      <c r="FWV2" s="2"/>
      <c r="FWW2" s="2"/>
      <c r="FWX2" s="2"/>
      <c r="FWY2" s="2"/>
      <c r="FWZ2" s="2"/>
      <c r="FXA2" s="2"/>
      <c r="FXB2" s="2"/>
      <c r="FXC2" s="2"/>
      <c r="FXD2" s="2"/>
      <c r="FXE2" s="2"/>
      <c r="FXF2" s="2"/>
      <c r="FXG2" s="2"/>
      <c r="FXH2" s="2"/>
      <c r="FXI2" s="2" t="s">
        <v>0</v>
      </c>
      <c r="FXJ2" s="2"/>
      <c r="FXK2" s="2"/>
      <c r="FXL2" s="2"/>
      <c r="FXM2" s="2"/>
      <c r="FXN2" s="2"/>
      <c r="FXO2" s="2"/>
      <c r="FXP2" s="2"/>
      <c r="FXQ2" s="2"/>
      <c r="FXR2" s="2"/>
      <c r="FXS2" s="2"/>
      <c r="FXT2" s="2"/>
      <c r="FXU2" s="2"/>
      <c r="FXV2" s="2"/>
      <c r="FXW2" s="2"/>
      <c r="FXX2" s="2"/>
      <c r="FXY2" s="2" t="s">
        <v>0</v>
      </c>
      <c r="FXZ2" s="2"/>
      <c r="FYA2" s="2"/>
      <c r="FYB2" s="2"/>
      <c r="FYC2" s="2"/>
      <c r="FYD2" s="2"/>
      <c r="FYE2" s="2"/>
      <c r="FYF2" s="2"/>
      <c r="FYG2" s="2"/>
      <c r="FYH2" s="2"/>
      <c r="FYI2" s="2"/>
      <c r="FYJ2" s="2"/>
      <c r="FYK2" s="2"/>
      <c r="FYL2" s="2"/>
      <c r="FYM2" s="2"/>
      <c r="FYN2" s="2"/>
      <c r="FYO2" s="2" t="s">
        <v>0</v>
      </c>
      <c r="FYP2" s="2"/>
      <c r="FYQ2" s="2"/>
      <c r="FYR2" s="2"/>
      <c r="FYS2" s="2"/>
      <c r="FYT2" s="2"/>
      <c r="FYU2" s="2"/>
      <c r="FYV2" s="2"/>
      <c r="FYW2" s="2"/>
      <c r="FYX2" s="2"/>
      <c r="FYY2" s="2"/>
      <c r="FYZ2" s="2"/>
      <c r="FZA2" s="2"/>
      <c r="FZB2" s="2"/>
      <c r="FZC2" s="2"/>
      <c r="FZD2" s="2"/>
      <c r="FZE2" s="2" t="s">
        <v>0</v>
      </c>
      <c r="FZF2" s="2"/>
      <c r="FZG2" s="2"/>
      <c r="FZH2" s="2"/>
      <c r="FZI2" s="2"/>
      <c r="FZJ2" s="2"/>
      <c r="FZK2" s="2"/>
      <c r="FZL2" s="2"/>
      <c r="FZM2" s="2"/>
      <c r="FZN2" s="2"/>
      <c r="FZO2" s="2"/>
      <c r="FZP2" s="2"/>
      <c r="FZQ2" s="2"/>
      <c r="FZR2" s="2"/>
      <c r="FZS2" s="2"/>
      <c r="FZT2" s="2"/>
      <c r="FZU2" s="2" t="s">
        <v>0</v>
      </c>
      <c r="FZV2" s="2"/>
      <c r="FZW2" s="2"/>
      <c r="FZX2" s="2"/>
      <c r="FZY2" s="2"/>
      <c r="FZZ2" s="2"/>
      <c r="GAA2" s="2"/>
      <c r="GAB2" s="2"/>
      <c r="GAC2" s="2"/>
      <c r="GAD2" s="2"/>
      <c r="GAE2" s="2"/>
      <c r="GAF2" s="2"/>
      <c r="GAG2" s="2"/>
      <c r="GAH2" s="2"/>
      <c r="GAI2" s="2"/>
      <c r="GAJ2" s="2"/>
      <c r="GAK2" s="2" t="s">
        <v>0</v>
      </c>
      <c r="GAL2" s="2"/>
      <c r="GAM2" s="2"/>
      <c r="GAN2" s="2"/>
      <c r="GAO2" s="2"/>
      <c r="GAP2" s="2"/>
      <c r="GAQ2" s="2"/>
      <c r="GAR2" s="2"/>
      <c r="GAS2" s="2"/>
      <c r="GAT2" s="2"/>
      <c r="GAU2" s="2"/>
      <c r="GAV2" s="2"/>
      <c r="GAW2" s="2"/>
      <c r="GAX2" s="2"/>
      <c r="GAY2" s="2"/>
      <c r="GAZ2" s="2"/>
      <c r="GBA2" s="2" t="s">
        <v>0</v>
      </c>
      <c r="GBB2" s="2"/>
      <c r="GBC2" s="2"/>
      <c r="GBD2" s="2"/>
      <c r="GBE2" s="2"/>
      <c r="GBF2" s="2"/>
      <c r="GBG2" s="2"/>
      <c r="GBH2" s="2"/>
      <c r="GBI2" s="2"/>
      <c r="GBJ2" s="2"/>
      <c r="GBK2" s="2"/>
      <c r="GBL2" s="2"/>
      <c r="GBM2" s="2"/>
      <c r="GBN2" s="2"/>
      <c r="GBO2" s="2"/>
      <c r="GBP2" s="2"/>
      <c r="GBQ2" s="2" t="s">
        <v>0</v>
      </c>
      <c r="GBR2" s="2"/>
      <c r="GBS2" s="2"/>
      <c r="GBT2" s="2"/>
      <c r="GBU2" s="2"/>
      <c r="GBV2" s="2"/>
      <c r="GBW2" s="2"/>
      <c r="GBX2" s="2"/>
      <c r="GBY2" s="2"/>
      <c r="GBZ2" s="2"/>
      <c r="GCA2" s="2"/>
      <c r="GCB2" s="2"/>
      <c r="GCC2" s="2"/>
      <c r="GCD2" s="2"/>
      <c r="GCE2" s="2"/>
      <c r="GCF2" s="2"/>
      <c r="GCG2" s="2" t="s">
        <v>0</v>
      </c>
      <c r="GCH2" s="2"/>
      <c r="GCI2" s="2"/>
      <c r="GCJ2" s="2"/>
      <c r="GCK2" s="2"/>
      <c r="GCL2" s="2"/>
      <c r="GCM2" s="2"/>
      <c r="GCN2" s="2"/>
      <c r="GCO2" s="2"/>
      <c r="GCP2" s="2"/>
      <c r="GCQ2" s="2"/>
      <c r="GCR2" s="2"/>
      <c r="GCS2" s="2"/>
      <c r="GCT2" s="2"/>
      <c r="GCU2" s="2"/>
      <c r="GCV2" s="2"/>
      <c r="GCW2" s="2" t="s">
        <v>0</v>
      </c>
      <c r="GCX2" s="2"/>
      <c r="GCY2" s="2"/>
      <c r="GCZ2" s="2"/>
      <c r="GDA2" s="2"/>
      <c r="GDB2" s="2"/>
      <c r="GDC2" s="2"/>
      <c r="GDD2" s="2"/>
      <c r="GDE2" s="2"/>
      <c r="GDF2" s="2"/>
      <c r="GDG2" s="2"/>
      <c r="GDH2" s="2"/>
      <c r="GDI2" s="2"/>
      <c r="GDJ2" s="2"/>
      <c r="GDK2" s="2"/>
      <c r="GDL2" s="2"/>
      <c r="GDM2" s="2" t="s">
        <v>0</v>
      </c>
      <c r="GDN2" s="2"/>
      <c r="GDO2" s="2"/>
      <c r="GDP2" s="2"/>
      <c r="GDQ2" s="2"/>
      <c r="GDR2" s="2"/>
      <c r="GDS2" s="2"/>
      <c r="GDT2" s="2"/>
      <c r="GDU2" s="2"/>
      <c r="GDV2" s="2"/>
      <c r="GDW2" s="2"/>
      <c r="GDX2" s="2"/>
      <c r="GDY2" s="2"/>
      <c r="GDZ2" s="2"/>
      <c r="GEA2" s="2"/>
      <c r="GEB2" s="2"/>
      <c r="GEC2" s="2" t="s">
        <v>0</v>
      </c>
      <c r="GED2" s="2"/>
      <c r="GEE2" s="2"/>
      <c r="GEF2" s="2"/>
      <c r="GEG2" s="2"/>
      <c r="GEH2" s="2"/>
      <c r="GEI2" s="2"/>
      <c r="GEJ2" s="2"/>
      <c r="GEK2" s="2"/>
      <c r="GEL2" s="2"/>
      <c r="GEM2" s="2"/>
      <c r="GEN2" s="2"/>
      <c r="GEO2" s="2"/>
      <c r="GEP2" s="2"/>
      <c r="GEQ2" s="2"/>
      <c r="GER2" s="2"/>
      <c r="GES2" s="2" t="s">
        <v>0</v>
      </c>
      <c r="GET2" s="2"/>
      <c r="GEU2" s="2"/>
      <c r="GEV2" s="2"/>
      <c r="GEW2" s="2"/>
      <c r="GEX2" s="2"/>
      <c r="GEY2" s="2"/>
      <c r="GEZ2" s="2"/>
      <c r="GFA2" s="2"/>
      <c r="GFB2" s="2"/>
      <c r="GFC2" s="2"/>
      <c r="GFD2" s="2"/>
      <c r="GFE2" s="2"/>
      <c r="GFF2" s="2"/>
      <c r="GFG2" s="2"/>
      <c r="GFH2" s="2"/>
      <c r="GFI2" s="2" t="s">
        <v>0</v>
      </c>
      <c r="GFJ2" s="2"/>
      <c r="GFK2" s="2"/>
      <c r="GFL2" s="2"/>
      <c r="GFM2" s="2"/>
      <c r="GFN2" s="2"/>
      <c r="GFO2" s="2"/>
      <c r="GFP2" s="2"/>
      <c r="GFQ2" s="2"/>
      <c r="GFR2" s="2"/>
      <c r="GFS2" s="2"/>
      <c r="GFT2" s="2"/>
      <c r="GFU2" s="2"/>
      <c r="GFV2" s="2"/>
      <c r="GFW2" s="2"/>
      <c r="GFX2" s="2"/>
      <c r="GFY2" s="2" t="s">
        <v>0</v>
      </c>
      <c r="GFZ2" s="2"/>
      <c r="GGA2" s="2"/>
      <c r="GGB2" s="2"/>
      <c r="GGC2" s="2"/>
      <c r="GGD2" s="2"/>
      <c r="GGE2" s="2"/>
      <c r="GGF2" s="2"/>
      <c r="GGG2" s="2"/>
      <c r="GGH2" s="2"/>
      <c r="GGI2" s="2"/>
      <c r="GGJ2" s="2"/>
      <c r="GGK2" s="2"/>
      <c r="GGL2" s="2"/>
      <c r="GGM2" s="2"/>
      <c r="GGN2" s="2"/>
      <c r="GGO2" s="2" t="s">
        <v>0</v>
      </c>
      <c r="GGP2" s="2"/>
      <c r="GGQ2" s="2"/>
      <c r="GGR2" s="2"/>
      <c r="GGS2" s="2"/>
      <c r="GGT2" s="2"/>
      <c r="GGU2" s="2"/>
      <c r="GGV2" s="2"/>
      <c r="GGW2" s="2"/>
      <c r="GGX2" s="2"/>
      <c r="GGY2" s="2"/>
      <c r="GGZ2" s="2"/>
      <c r="GHA2" s="2"/>
      <c r="GHB2" s="2"/>
      <c r="GHC2" s="2"/>
      <c r="GHD2" s="2"/>
      <c r="GHE2" s="2" t="s">
        <v>0</v>
      </c>
      <c r="GHF2" s="2"/>
      <c r="GHG2" s="2"/>
      <c r="GHH2" s="2"/>
      <c r="GHI2" s="2"/>
      <c r="GHJ2" s="2"/>
      <c r="GHK2" s="2"/>
      <c r="GHL2" s="2"/>
      <c r="GHM2" s="2"/>
      <c r="GHN2" s="2"/>
      <c r="GHO2" s="2"/>
      <c r="GHP2" s="2"/>
      <c r="GHQ2" s="2"/>
      <c r="GHR2" s="2"/>
      <c r="GHS2" s="2"/>
      <c r="GHT2" s="2"/>
      <c r="GHU2" s="2" t="s">
        <v>0</v>
      </c>
      <c r="GHV2" s="2"/>
      <c r="GHW2" s="2"/>
      <c r="GHX2" s="2"/>
      <c r="GHY2" s="2"/>
      <c r="GHZ2" s="2"/>
      <c r="GIA2" s="2"/>
      <c r="GIB2" s="2"/>
      <c r="GIC2" s="2"/>
      <c r="GID2" s="2"/>
      <c r="GIE2" s="2"/>
      <c r="GIF2" s="2"/>
      <c r="GIG2" s="2"/>
      <c r="GIH2" s="2"/>
      <c r="GII2" s="2"/>
      <c r="GIJ2" s="2"/>
      <c r="GIK2" s="2" t="s">
        <v>0</v>
      </c>
      <c r="GIL2" s="2"/>
      <c r="GIM2" s="2"/>
      <c r="GIN2" s="2"/>
      <c r="GIO2" s="2"/>
      <c r="GIP2" s="2"/>
      <c r="GIQ2" s="2"/>
      <c r="GIR2" s="2"/>
      <c r="GIS2" s="2"/>
      <c r="GIT2" s="2"/>
      <c r="GIU2" s="2"/>
      <c r="GIV2" s="2"/>
      <c r="GIW2" s="2"/>
      <c r="GIX2" s="2"/>
      <c r="GIY2" s="2"/>
      <c r="GIZ2" s="2"/>
      <c r="GJA2" s="2" t="s">
        <v>0</v>
      </c>
      <c r="GJB2" s="2"/>
      <c r="GJC2" s="2"/>
      <c r="GJD2" s="2"/>
      <c r="GJE2" s="2"/>
      <c r="GJF2" s="2"/>
      <c r="GJG2" s="2"/>
      <c r="GJH2" s="2"/>
      <c r="GJI2" s="2"/>
      <c r="GJJ2" s="2"/>
      <c r="GJK2" s="2"/>
      <c r="GJL2" s="2"/>
      <c r="GJM2" s="2"/>
      <c r="GJN2" s="2"/>
      <c r="GJO2" s="2"/>
      <c r="GJP2" s="2"/>
      <c r="GJQ2" s="2" t="s">
        <v>0</v>
      </c>
      <c r="GJR2" s="2"/>
      <c r="GJS2" s="2"/>
      <c r="GJT2" s="2"/>
      <c r="GJU2" s="2"/>
      <c r="GJV2" s="2"/>
      <c r="GJW2" s="2"/>
      <c r="GJX2" s="2"/>
      <c r="GJY2" s="2"/>
      <c r="GJZ2" s="2"/>
      <c r="GKA2" s="2"/>
      <c r="GKB2" s="2"/>
      <c r="GKC2" s="2"/>
      <c r="GKD2" s="2"/>
      <c r="GKE2" s="2"/>
      <c r="GKF2" s="2"/>
      <c r="GKG2" s="2" t="s">
        <v>0</v>
      </c>
      <c r="GKH2" s="2"/>
      <c r="GKI2" s="2"/>
      <c r="GKJ2" s="2"/>
      <c r="GKK2" s="2"/>
      <c r="GKL2" s="2"/>
      <c r="GKM2" s="2"/>
      <c r="GKN2" s="2"/>
      <c r="GKO2" s="2"/>
      <c r="GKP2" s="2"/>
      <c r="GKQ2" s="2"/>
      <c r="GKR2" s="2"/>
      <c r="GKS2" s="2"/>
      <c r="GKT2" s="2"/>
      <c r="GKU2" s="2"/>
      <c r="GKV2" s="2"/>
      <c r="GKW2" s="2" t="s">
        <v>0</v>
      </c>
      <c r="GKX2" s="2"/>
      <c r="GKY2" s="2"/>
      <c r="GKZ2" s="2"/>
      <c r="GLA2" s="2"/>
      <c r="GLB2" s="2"/>
      <c r="GLC2" s="2"/>
      <c r="GLD2" s="2"/>
      <c r="GLE2" s="2"/>
      <c r="GLF2" s="2"/>
      <c r="GLG2" s="2"/>
      <c r="GLH2" s="2"/>
      <c r="GLI2" s="2"/>
      <c r="GLJ2" s="2"/>
      <c r="GLK2" s="2"/>
      <c r="GLL2" s="2"/>
      <c r="GLM2" s="2" t="s">
        <v>0</v>
      </c>
      <c r="GLN2" s="2"/>
      <c r="GLO2" s="2"/>
      <c r="GLP2" s="2"/>
      <c r="GLQ2" s="2"/>
      <c r="GLR2" s="2"/>
      <c r="GLS2" s="2"/>
      <c r="GLT2" s="2"/>
      <c r="GLU2" s="2"/>
      <c r="GLV2" s="2"/>
      <c r="GLW2" s="2"/>
      <c r="GLX2" s="2"/>
      <c r="GLY2" s="2"/>
      <c r="GLZ2" s="2"/>
      <c r="GMA2" s="2"/>
      <c r="GMB2" s="2"/>
      <c r="GMC2" s="2" t="s">
        <v>0</v>
      </c>
      <c r="GMD2" s="2"/>
      <c r="GME2" s="2"/>
      <c r="GMF2" s="2"/>
      <c r="GMG2" s="2"/>
      <c r="GMH2" s="2"/>
      <c r="GMI2" s="2"/>
      <c r="GMJ2" s="2"/>
      <c r="GMK2" s="2"/>
      <c r="GML2" s="2"/>
      <c r="GMM2" s="2"/>
      <c r="GMN2" s="2"/>
      <c r="GMO2" s="2"/>
      <c r="GMP2" s="2"/>
      <c r="GMQ2" s="2"/>
      <c r="GMR2" s="2"/>
      <c r="GMS2" s="2" t="s">
        <v>0</v>
      </c>
      <c r="GMT2" s="2"/>
      <c r="GMU2" s="2"/>
      <c r="GMV2" s="2"/>
      <c r="GMW2" s="2"/>
      <c r="GMX2" s="2"/>
      <c r="GMY2" s="2"/>
      <c r="GMZ2" s="2"/>
      <c r="GNA2" s="2"/>
      <c r="GNB2" s="2"/>
      <c r="GNC2" s="2"/>
      <c r="GND2" s="2"/>
      <c r="GNE2" s="2"/>
      <c r="GNF2" s="2"/>
      <c r="GNG2" s="2"/>
      <c r="GNH2" s="2"/>
      <c r="GNI2" s="2" t="s">
        <v>0</v>
      </c>
      <c r="GNJ2" s="2"/>
      <c r="GNK2" s="2"/>
      <c r="GNL2" s="2"/>
      <c r="GNM2" s="2"/>
      <c r="GNN2" s="2"/>
      <c r="GNO2" s="2"/>
      <c r="GNP2" s="2"/>
      <c r="GNQ2" s="2"/>
      <c r="GNR2" s="2"/>
      <c r="GNS2" s="2"/>
      <c r="GNT2" s="2"/>
      <c r="GNU2" s="2"/>
      <c r="GNV2" s="2"/>
      <c r="GNW2" s="2"/>
      <c r="GNX2" s="2"/>
      <c r="GNY2" s="2" t="s">
        <v>0</v>
      </c>
      <c r="GNZ2" s="2"/>
      <c r="GOA2" s="2"/>
      <c r="GOB2" s="2"/>
      <c r="GOC2" s="2"/>
      <c r="GOD2" s="2"/>
      <c r="GOE2" s="2"/>
      <c r="GOF2" s="2"/>
      <c r="GOG2" s="2"/>
      <c r="GOH2" s="2"/>
      <c r="GOI2" s="2"/>
      <c r="GOJ2" s="2"/>
      <c r="GOK2" s="2"/>
      <c r="GOL2" s="2"/>
      <c r="GOM2" s="2"/>
      <c r="GON2" s="2"/>
      <c r="GOO2" s="2" t="s">
        <v>0</v>
      </c>
      <c r="GOP2" s="2"/>
      <c r="GOQ2" s="2"/>
      <c r="GOR2" s="2"/>
      <c r="GOS2" s="2"/>
      <c r="GOT2" s="2"/>
      <c r="GOU2" s="2"/>
      <c r="GOV2" s="2"/>
      <c r="GOW2" s="2"/>
      <c r="GOX2" s="2"/>
      <c r="GOY2" s="2"/>
      <c r="GOZ2" s="2"/>
      <c r="GPA2" s="2"/>
      <c r="GPB2" s="2"/>
      <c r="GPC2" s="2"/>
      <c r="GPD2" s="2"/>
      <c r="GPE2" s="2" t="s">
        <v>0</v>
      </c>
      <c r="GPF2" s="2"/>
      <c r="GPG2" s="2"/>
      <c r="GPH2" s="2"/>
      <c r="GPI2" s="2"/>
      <c r="GPJ2" s="2"/>
      <c r="GPK2" s="2"/>
      <c r="GPL2" s="2"/>
      <c r="GPM2" s="2"/>
      <c r="GPN2" s="2"/>
      <c r="GPO2" s="2"/>
      <c r="GPP2" s="2"/>
      <c r="GPQ2" s="2"/>
      <c r="GPR2" s="2"/>
      <c r="GPS2" s="2"/>
      <c r="GPT2" s="2"/>
      <c r="GPU2" s="2" t="s">
        <v>0</v>
      </c>
      <c r="GPV2" s="2"/>
      <c r="GPW2" s="2"/>
      <c r="GPX2" s="2"/>
      <c r="GPY2" s="2"/>
      <c r="GPZ2" s="2"/>
      <c r="GQA2" s="2"/>
      <c r="GQB2" s="2"/>
      <c r="GQC2" s="2"/>
      <c r="GQD2" s="2"/>
      <c r="GQE2" s="2"/>
      <c r="GQF2" s="2"/>
      <c r="GQG2" s="2"/>
      <c r="GQH2" s="2"/>
      <c r="GQI2" s="2"/>
      <c r="GQJ2" s="2"/>
      <c r="GQK2" s="2" t="s">
        <v>0</v>
      </c>
      <c r="GQL2" s="2"/>
      <c r="GQM2" s="2"/>
      <c r="GQN2" s="2"/>
      <c r="GQO2" s="2"/>
      <c r="GQP2" s="2"/>
      <c r="GQQ2" s="2"/>
      <c r="GQR2" s="2"/>
      <c r="GQS2" s="2"/>
      <c r="GQT2" s="2"/>
      <c r="GQU2" s="2"/>
      <c r="GQV2" s="2"/>
      <c r="GQW2" s="2"/>
      <c r="GQX2" s="2"/>
      <c r="GQY2" s="2"/>
      <c r="GQZ2" s="2"/>
      <c r="GRA2" s="2" t="s">
        <v>0</v>
      </c>
      <c r="GRB2" s="2"/>
      <c r="GRC2" s="2"/>
      <c r="GRD2" s="2"/>
      <c r="GRE2" s="2"/>
      <c r="GRF2" s="2"/>
      <c r="GRG2" s="2"/>
      <c r="GRH2" s="2"/>
      <c r="GRI2" s="2"/>
      <c r="GRJ2" s="2"/>
      <c r="GRK2" s="2"/>
      <c r="GRL2" s="2"/>
      <c r="GRM2" s="2"/>
      <c r="GRN2" s="2"/>
      <c r="GRO2" s="2"/>
      <c r="GRP2" s="2"/>
      <c r="GRQ2" s="2" t="s">
        <v>0</v>
      </c>
      <c r="GRR2" s="2"/>
      <c r="GRS2" s="2"/>
      <c r="GRT2" s="2"/>
      <c r="GRU2" s="2"/>
      <c r="GRV2" s="2"/>
      <c r="GRW2" s="2"/>
      <c r="GRX2" s="2"/>
      <c r="GRY2" s="2"/>
      <c r="GRZ2" s="2"/>
      <c r="GSA2" s="2"/>
      <c r="GSB2" s="2"/>
      <c r="GSC2" s="2"/>
      <c r="GSD2" s="2"/>
      <c r="GSE2" s="2"/>
      <c r="GSF2" s="2"/>
      <c r="GSG2" s="2" t="s">
        <v>0</v>
      </c>
      <c r="GSH2" s="2"/>
      <c r="GSI2" s="2"/>
      <c r="GSJ2" s="2"/>
      <c r="GSK2" s="2"/>
      <c r="GSL2" s="2"/>
      <c r="GSM2" s="2"/>
      <c r="GSN2" s="2"/>
      <c r="GSO2" s="2"/>
      <c r="GSP2" s="2"/>
      <c r="GSQ2" s="2"/>
      <c r="GSR2" s="2"/>
      <c r="GSS2" s="2"/>
      <c r="GST2" s="2"/>
      <c r="GSU2" s="2"/>
      <c r="GSV2" s="2"/>
      <c r="GSW2" s="2" t="s">
        <v>0</v>
      </c>
      <c r="GSX2" s="2"/>
      <c r="GSY2" s="2"/>
      <c r="GSZ2" s="2"/>
      <c r="GTA2" s="2"/>
      <c r="GTB2" s="2"/>
      <c r="GTC2" s="2"/>
      <c r="GTD2" s="2"/>
      <c r="GTE2" s="2"/>
      <c r="GTF2" s="2"/>
      <c r="GTG2" s="2"/>
      <c r="GTH2" s="2"/>
      <c r="GTI2" s="2"/>
      <c r="GTJ2" s="2"/>
      <c r="GTK2" s="2"/>
      <c r="GTL2" s="2"/>
      <c r="GTM2" s="2" t="s">
        <v>0</v>
      </c>
      <c r="GTN2" s="2"/>
      <c r="GTO2" s="2"/>
      <c r="GTP2" s="2"/>
      <c r="GTQ2" s="2"/>
      <c r="GTR2" s="2"/>
      <c r="GTS2" s="2"/>
      <c r="GTT2" s="2"/>
      <c r="GTU2" s="2"/>
      <c r="GTV2" s="2"/>
      <c r="GTW2" s="2"/>
      <c r="GTX2" s="2"/>
      <c r="GTY2" s="2"/>
      <c r="GTZ2" s="2"/>
      <c r="GUA2" s="2"/>
      <c r="GUB2" s="2"/>
      <c r="GUC2" s="2" t="s">
        <v>0</v>
      </c>
      <c r="GUD2" s="2"/>
      <c r="GUE2" s="2"/>
      <c r="GUF2" s="2"/>
      <c r="GUG2" s="2"/>
      <c r="GUH2" s="2"/>
      <c r="GUI2" s="2"/>
      <c r="GUJ2" s="2"/>
      <c r="GUK2" s="2"/>
      <c r="GUL2" s="2"/>
      <c r="GUM2" s="2"/>
      <c r="GUN2" s="2"/>
      <c r="GUO2" s="2"/>
      <c r="GUP2" s="2"/>
      <c r="GUQ2" s="2"/>
      <c r="GUR2" s="2"/>
      <c r="GUS2" s="2" t="s">
        <v>0</v>
      </c>
      <c r="GUT2" s="2"/>
      <c r="GUU2" s="2"/>
      <c r="GUV2" s="2"/>
      <c r="GUW2" s="2"/>
      <c r="GUX2" s="2"/>
      <c r="GUY2" s="2"/>
      <c r="GUZ2" s="2"/>
      <c r="GVA2" s="2"/>
      <c r="GVB2" s="2"/>
      <c r="GVC2" s="2"/>
      <c r="GVD2" s="2"/>
      <c r="GVE2" s="2"/>
      <c r="GVF2" s="2"/>
      <c r="GVG2" s="2"/>
      <c r="GVH2" s="2"/>
      <c r="GVI2" s="2" t="s">
        <v>0</v>
      </c>
      <c r="GVJ2" s="2"/>
      <c r="GVK2" s="2"/>
      <c r="GVL2" s="2"/>
      <c r="GVM2" s="2"/>
      <c r="GVN2" s="2"/>
      <c r="GVO2" s="2"/>
      <c r="GVP2" s="2"/>
      <c r="GVQ2" s="2"/>
      <c r="GVR2" s="2"/>
      <c r="GVS2" s="2"/>
      <c r="GVT2" s="2"/>
      <c r="GVU2" s="2"/>
      <c r="GVV2" s="2"/>
      <c r="GVW2" s="2"/>
      <c r="GVX2" s="2"/>
      <c r="GVY2" s="2" t="s">
        <v>0</v>
      </c>
      <c r="GVZ2" s="2"/>
      <c r="GWA2" s="2"/>
      <c r="GWB2" s="2"/>
      <c r="GWC2" s="2"/>
      <c r="GWD2" s="2"/>
      <c r="GWE2" s="2"/>
      <c r="GWF2" s="2"/>
      <c r="GWG2" s="2"/>
      <c r="GWH2" s="2"/>
      <c r="GWI2" s="2"/>
      <c r="GWJ2" s="2"/>
      <c r="GWK2" s="2"/>
      <c r="GWL2" s="2"/>
      <c r="GWM2" s="2"/>
      <c r="GWN2" s="2"/>
      <c r="GWO2" s="2" t="s">
        <v>0</v>
      </c>
      <c r="GWP2" s="2"/>
      <c r="GWQ2" s="2"/>
      <c r="GWR2" s="2"/>
      <c r="GWS2" s="2"/>
      <c r="GWT2" s="2"/>
      <c r="GWU2" s="2"/>
      <c r="GWV2" s="2"/>
      <c r="GWW2" s="2"/>
      <c r="GWX2" s="2"/>
      <c r="GWY2" s="2"/>
      <c r="GWZ2" s="2"/>
      <c r="GXA2" s="2"/>
      <c r="GXB2" s="2"/>
      <c r="GXC2" s="2"/>
      <c r="GXD2" s="2"/>
      <c r="GXE2" s="2" t="s">
        <v>0</v>
      </c>
      <c r="GXF2" s="2"/>
      <c r="GXG2" s="2"/>
      <c r="GXH2" s="2"/>
      <c r="GXI2" s="2"/>
      <c r="GXJ2" s="2"/>
      <c r="GXK2" s="2"/>
      <c r="GXL2" s="2"/>
      <c r="GXM2" s="2"/>
      <c r="GXN2" s="2"/>
      <c r="GXO2" s="2"/>
      <c r="GXP2" s="2"/>
      <c r="GXQ2" s="2"/>
      <c r="GXR2" s="2"/>
      <c r="GXS2" s="2"/>
      <c r="GXT2" s="2"/>
      <c r="GXU2" s="2" t="s">
        <v>0</v>
      </c>
      <c r="GXV2" s="2"/>
      <c r="GXW2" s="2"/>
      <c r="GXX2" s="2"/>
      <c r="GXY2" s="2"/>
      <c r="GXZ2" s="2"/>
      <c r="GYA2" s="2"/>
      <c r="GYB2" s="2"/>
      <c r="GYC2" s="2"/>
      <c r="GYD2" s="2"/>
      <c r="GYE2" s="2"/>
      <c r="GYF2" s="2"/>
      <c r="GYG2" s="2"/>
      <c r="GYH2" s="2"/>
      <c r="GYI2" s="2"/>
      <c r="GYJ2" s="2"/>
      <c r="GYK2" s="2" t="s">
        <v>0</v>
      </c>
      <c r="GYL2" s="2"/>
      <c r="GYM2" s="2"/>
      <c r="GYN2" s="2"/>
      <c r="GYO2" s="2"/>
      <c r="GYP2" s="2"/>
      <c r="GYQ2" s="2"/>
      <c r="GYR2" s="2"/>
      <c r="GYS2" s="2"/>
      <c r="GYT2" s="2"/>
      <c r="GYU2" s="2"/>
      <c r="GYV2" s="2"/>
      <c r="GYW2" s="2"/>
      <c r="GYX2" s="2"/>
      <c r="GYY2" s="2"/>
      <c r="GYZ2" s="2"/>
      <c r="GZA2" s="2" t="s">
        <v>0</v>
      </c>
      <c r="GZB2" s="2"/>
      <c r="GZC2" s="2"/>
      <c r="GZD2" s="2"/>
      <c r="GZE2" s="2"/>
      <c r="GZF2" s="2"/>
      <c r="GZG2" s="2"/>
      <c r="GZH2" s="2"/>
      <c r="GZI2" s="2"/>
      <c r="GZJ2" s="2"/>
      <c r="GZK2" s="2"/>
      <c r="GZL2" s="2"/>
      <c r="GZM2" s="2"/>
      <c r="GZN2" s="2"/>
      <c r="GZO2" s="2"/>
      <c r="GZP2" s="2"/>
      <c r="GZQ2" s="2" t="s">
        <v>0</v>
      </c>
      <c r="GZR2" s="2"/>
      <c r="GZS2" s="2"/>
      <c r="GZT2" s="2"/>
      <c r="GZU2" s="2"/>
      <c r="GZV2" s="2"/>
      <c r="GZW2" s="2"/>
      <c r="GZX2" s="2"/>
      <c r="GZY2" s="2"/>
      <c r="GZZ2" s="2"/>
      <c r="HAA2" s="2"/>
      <c r="HAB2" s="2"/>
      <c r="HAC2" s="2"/>
      <c r="HAD2" s="2"/>
      <c r="HAE2" s="2"/>
      <c r="HAF2" s="2"/>
      <c r="HAG2" s="2" t="s">
        <v>0</v>
      </c>
      <c r="HAH2" s="2"/>
      <c r="HAI2" s="2"/>
      <c r="HAJ2" s="2"/>
      <c r="HAK2" s="2"/>
      <c r="HAL2" s="2"/>
      <c r="HAM2" s="2"/>
      <c r="HAN2" s="2"/>
      <c r="HAO2" s="2"/>
      <c r="HAP2" s="2"/>
      <c r="HAQ2" s="2"/>
      <c r="HAR2" s="2"/>
      <c r="HAS2" s="2"/>
      <c r="HAT2" s="2"/>
      <c r="HAU2" s="2"/>
      <c r="HAV2" s="2"/>
      <c r="HAW2" s="2" t="s">
        <v>0</v>
      </c>
      <c r="HAX2" s="2"/>
      <c r="HAY2" s="2"/>
      <c r="HAZ2" s="2"/>
      <c r="HBA2" s="2"/>
      <c r="HBB2" s="2"/>
      <c r="HBC2" s="2"/>
      <c r="HBD2" s="2"/>
      <c r="HBE2" s="2"/>
      <c r="HBF2" s="2"/>
      <c r="HBG2" s="2"/>
      <c r="HBH2" s="2"/>
      <c r="HBI2" s="2"/>
      <c r="HBJ2" s="2"/>
      <c r="HBK2" s="2"/>
      <c r="HBL2" s="2"/>
      <c r="HBM2" s="2" t="s">
        <v>0</v>
      </c>
      <c r="HBN2" s="2"/>
      <c r="HBO2" s="2"/>
      <c r="HBP2" s="2"/>
      <c r="HBQ2" s="2"/>
      <c r="HBR2" s="2"/>
      <c r="HBS2" s="2"/>
      <c r="HBT2" s="2"/>
      <c r="HBU2" s="2"/>
      <c r="HBV2" s="2"/>
      <c r="HBW2" s="2"/>
      <c r="HBX2" s="2"/>
      <c r="HBY2" s="2"/>
      <c r="HBZ2" s="2"/>
      <c r="HCA2" s="2"/>
      <c r="HCB2" s="2"/>
      <c r="HCC2" s="2" t="s">
        <v>0</v>
      </c>
      <c r="HCD2" s="2"/>
      <c r="HCE2" s="2"/>
      <c r="HCF2" s="2"/>
      <c r="HCG2" s="2"/>
      <c r="HCH2" s="2"/>
      <c r="HCI2" s="2"/>
      <c r="HCJ2" s="2"/>
      <c r="HCK2" s="2"/>
      <c r="HCL2" s="2"/>
      <c r="HCM2" s="2"/>
      <c r="HCN2" s="2"/>
      <c r="HCO2" s="2"/>
      <c r="HCP2" s="2"/>
      <c r="HCQ2" s="2"/>
      <c r="HCR2" s="2"/>
      <c r="HCS2" s="2" t="s">
        <v>0</v>
      </c>
      <c r="HCT2" s="2"/>
      <c r="HCU2" s="2"/>
      <c r="HCV2" s="2"/>
      <c r="HCW2" s="2"/>
      <c r="HCX2" s="2"/>
      <c r="HCY2" s="2"/>
      <c r="HCZ2" s="2"/>
      <c r="HDA2" s="2"/>
      <c r="HDB2" s="2"/>
      <c r="HDC2" s="2"/>
      <c r="HDD2" s="2"/>
      <c r="HDE2" s="2"/>
      <c r="HDF2" s="2"/>
      <c r="HDG2" s="2"/>
      <c r="HDH2" s="2"/>
      <c r="HDI2" s="2" t="s">
        <v>0</v>
      </c>
      <c r="HDJ2" s="2"/>
      <c r="HDK2" s="2"/>
      <c r="HDL2" s="2"/>
      <c r="HDM2" s="2"/>
      <c r="HDN2" s="2"/>
      <c r="HDO2" s="2"/>
      <c r="HDP2" s="2"/>
      <c r="HDQ2" s="2"/>
      <c r="HDR2" s="2"/>
      <c r="HDS2" s="2"/>
      <c r="HDT2" s="2"/>
      <c r="HDU2" s="2"/>
      <c r="HDV2" s="2"/>
      <c r="HDW2" s="2"/>
      <c r="HDX2" s="2"/>
      <c r="HDY2" s="2" t="s">
        <v>0</v>
      </c>
      <c r="HDZ2" s="2"/>
      <c r="HEA2" s="2"/>
      <c r="HEB2" s="2"/>
      <c r="HEC2" s="2"/>
      <c r="HED2" s="2"/>
      <c r="HEE2" s="2"/>
      <c r="HEF2" s="2"/>
      <c r="HEG2" s="2"/>
      <c r="HEH2" s="2"/>
      <c r="HEI2" s="2"/>
      <c r="HEJ2" s="2"/>
      <c r="HEK2" s="2"/>
      <c r="HEL2" s="2"/>
      <c r="HEM2" s="2"/>
      <c r="HEN2" s="2"/>
      <c r="HEO2" s="2" t="s">
        <v>0</v>
      </c>
      <c r="HEP2" s="2"/>
      <c r="HEQ2" s="2"/>
      <c r="HER2" s="2"/>
      <c r="HES2" s="2"/>
      <c r="HET2" s="2"/>
      <c r="HEU2" s="2"/>
      <c r="HEV2" s="2"/>
      <c r="HEW2" s="2"/>
      <c r="HEX2" s="2"/>
      <c r="HEY2" s="2"/>
      <c r="HEZ2" s="2"/>
      <c r="HFA2" s="2"/>
      <c r="HFB2" s="2"/>
      <c r="HFC2" s="2"/>
      <c r="HFD2" s="2"/>
      <c r="HFE2" s="2" t="s">
        <v>0</v>
      </c>
      <c r="HFF2" s="2"/>
      <c r="HFG2" s="2"/>
      <c r="HFH2" s="2"/>
      <c r="HFI2" s="2"/>
      <c r="HFJ2" s="2"/>
      <c r="HFK2" s="2"/>
      <c r="HFL2" s="2"/>
      <c r="HFM2" s="2"/>
      <c r="HFN2" s="2"/>
      <c r="HFO2" s="2"/>
      <c r="HFP2" s="2"/>
      <c r="HFQ2" s="2"/>
      <c r="HFR2" s="2"/>
      <c r="HFS2" s="2"/>
      <c r="HFT2" s="2"/>
      <c r="HFU2" s="2" t="s">
        <v>0</v>
      </c>
      <c r="HFV2" s="2"/>
      <c r="HFW2" s="2"/>
      <c r="HFX2" s="2"/>
      <c r="HFY2" s="2"/>
      <c r="HFZ2" s="2"/>
      <c r="HGA2" s="2"/>
      <c r="HGB2" s="2"/>
      <c r="HGC2" s="2"/>
      <c r="HGD2" s="2"/>
      <c r="HGE2" s="2"/>
      <c r="HGF2" s="2"/>
      <c r="HGG2" s="2"/>
      <c r="HGH2" s="2"/>
      <c r="HGI2" s="2"/>
      <c r="HGJ2" s="2"/>
      <c r="HGK2" s="2" t="s">
        <v>0</v>
      </c>
      <c r="HGL2" s="2"/>
      <c r="HGM2" s="2"/>
      <c r="HGN2" s="2"/>
      <c r="HGO2" s="2"/>
      <c r="HGP2" s="2"/>
      <c r="HGQ2" s="2"/>
      <c r="HGR2" s="2"/>
      <c r="HGS2" s="2"/>
      <c r="HGT2" s="2"/>
      <c r="HGU2" s="2"/>
      <c r="HGV2" s="2"/>
      <c r="HGW2" s="2"/>
      <c r="HGX2" s="2"/>
      <c r="HGY2" s="2"/>
      <c r="HGZ2" s="2"/>
      <c r="HHA2" s="2" t="s">
        <v>0</v>
      </c>
      <c r="HHB2" s="2"/>
      <c r="HHC2" s="2"/>
      <c r="HHD2" s="2"/>
      <c r="HHE2" s="2"/>
      <c r="HHF2" s="2"/>
      <c r="HHG2" s="2"/>
      <c r="HHH2" s="2"/>
      <c r="HHI2" s="2"/>
      <c r="HHJ2" s="2"/>
      <c r="HHK2" s="2"/>
      <c r="HHL2" s="2"/>
      <c r="HHM2" s="2"/>
      <c r="HHN2" s="2"/>
      <c r="HHO2" s="2"/>
      <c r="HHP2" s="2"/>
      <c r="HHQ2" s="2" t="s">
        <v>0</v>
      </c>
      <c r="HHR2" s="2"/>
      <c r="HHS2" s="2"/>
      <c r="HHT2" s="2"/>
      <c r="HHU2" s="2"/>
      <c r="HHV2" s="2"/>
      <c r="HHW2" s="2"/>
      <c r="HHX2" s="2"/>
      <c r="HHY2" s="2"/>
      <c r="HHZ2" s="2"/>
      <c r="HIA2" s="2"/>
      <c r="HIB2" s="2"/>
      <c r="HIC2" s="2"/>
      <c r="HID2" s="2"/>
      <c r="HIE2" s="2"/>
      <c r="HIF2" s="2"/>
      <c r="HIG2" s="2" t="s">
        <v>0</v>
      </c>
      <c r="HIH2" s="2"/>
      <c r="HII2" s="2"/>
      <c r="HIJ2" s="2"/>
      <c r="HIK2" s="2"/>
      <c r="HIL2" s="2"/>
      <c r="HIM2" s="2"/>
      <c r="HIN2" s="2"/>
      <c r="HIO2" s="2"/>
      <c r="HIP2" s="2"/>
      <c r="HIQ2" s="2"/>
      <c r="HIR2" s="2"/>
      <c r="HIS2" s="2"/>
      <c r="HIT2" s="2"/>
      <c r="HIU2" s="2"/>
      <c r="HIV2" s="2"/>
      <c r="HIW2" s="2" t="s">
        <v>0</v>
      </c>
      <c r="HIX2" s="2"/>
      <c r="HIY2" s="2"/>
      <c r="HIZ2" s="2"/>
      <c r="HJA2" s="2"/>
      <c r="HJB2" s="2"/>
      <c r="HJC2" s="2"/>
      <c r="HJD2" s="2"/>
      <c r="HJE2" s="2"/>
      <c r="HJF2" s="2"/>
      <c r="HJG2" s="2"/>
      <c r="HJH2" s="2"/>
      <c r="HJI2" s="2"/>
      <c r="HJJ2" s="2"/>
      <c r="HJK2" s="2"/>
      <c r="HJL2" s="2"/>
      <c r="HJM2" s="2" t="s">
        <v>0</v>
      </c>
      <c r="HJN2" s="2"/>
      <c r="HJO2" s="2"/>
      <c r="HJP2" s="2"/>
      <c r="HJQ2" s="2"/>
      <c r="HJR2" s="2"/>
      <c r="HJS2" s="2"/>
      <c r="HJT2" s="2"/>
      <c r="HJU2" s="2"/>
      <c r="HJV2" s="2"/>
      <c r="HJW2" s="2"/>
      <c r="HJX2" s="2"/>
      <c r="HJY2" s="2"/>
      <c r="HJZ2" s="2"/>
      <c r="HKA2" s="2"/>
      <c r="HKB2" s="2"/>
      <c r="HKC2" s="2" t="s">
        <v>0</v>
      </c>
      <c r="HKD2" s="2"/>
      <c r="HKE2" s="2"/>
      <c r="HKF2" s="2"/>
      <c r="HKG2" s="2"/>
      <c r="HKH2" s="2"/>
      <c r="HKI2" s="2"/>
      <c r="HKJ2" s="2"/>
      <c r="HKK2" s="2"/>
      <c r="HKL2" s="2"/>
      <c r="HKM2" s="2"/>
      <c r="HKN2" s="2"/>
      <c r="HKO2" s="2"/>
      <c r="HKP2" s="2"/>
      <c r="HKQ2" s="2"/>
      <c r="HKR2" s="2"/>
      <c r="HKS2" s="2" t="s">
        <v>0</v>
      </c>
      <c r="HKT2" s="2"/>
      <c r="HKU2" s="2"/>
      <c r="HKV2" s="2"/>
      <c r="HKW2" s="2"/>
      <c r="HKX2" s="2"/>
      <c r="HKY2" s="2"/>
      <c r="HKZ2" s="2"/>
      <c r="HLA2" s="2"/>
      <c r="HLB2" s="2"/>
      <c r="HLC2" s="2"/>
      <c r="HLD2" s="2"/>
      <c r="HLE2" s="2"/>
      <c r="HLF2" s="2"/>
      <c r="HLG2" s="2"/>
      <c r="HLH2" s="2"/>
      <c r="HLI2" s="2" t="s">
        <v>0</v>
      </c>
      <c r="HLJ2" s="2"/>
      <c r="HLK2" s="2"/>
      <c r="HLL2" s="2"/>
      <c r="HLM2" s="2"/>
      <c r="HLN2" s="2"/>
      <c r="HLO2" s="2"/>
      <c r="HLP2" s="2"/>
      <c r="HLQ2" s="2"/>
      <c r="HLR2" s="2"/>
      <c r="HLS2" s="2"/>
      <c r="HLT2" s="2"/>
      <c r="HLU2" s="2"/>
      <c r="HLV2" s="2"/>
      <c r="HLW2" s="2"/>
      <c r="HLX2" s="2"/>
      <c r="HLY2" s="2" t="s">
        <v>0</v>
      </c>
      <c r="HLZ2" s="2"/>
      <c r="HMA2" s="2"/>
      <c r="HMB2" s="2"/>
      <c r="HMC2" s="2"/>
      <c r="HMD2" s="2"/>
      <c r="HME2" s="2"/>
      <c r="HMF2" s="2"/>
      <c r="HMG2" s="2"/>
      <c r="HMH2" s="2"/>
      <c r="HMI2" s="2"/>
      <c r="HMJ2" s="2"/>
      <c r="HMK2" s="2"/>
      <c r="HML2" s="2"/>
      <c r="HMM2" s="2"/>
      <c r="HMN2" s="2"/>
      <c r="HMO2" s="2" t="s">
        <v>0</v>
      </c>
      <c r="HMP2" s="2"/>
      <c r="HMQ2" s="2"/>
      <c r="HMR2" s="2"/>
      <c r="HMS2" s="2"/>
      <c r="HMT2" s="2"/>
      <c r="HMU2" s="2"/>
      <c r="HMV2" s="2"/>
      <c r="HMW2" s="2"/>
      <c r="HMX2" s="2"/>
      <c r="HMY2" s="2"/>
      <c r="HMZ2" s="2"/>
      <c r="HNA2" s="2"/>
      <c r="HNB2" s="2"/>
      <c r="HNC2" s="2"/>
      <c r="HND2" s="2"/>
      <c r="HNE2" s="2" t="s">
        <v>0</v>
      </c>
      <c r="HNF2" s="2"/>
      <c r="HNG2" s="2"/>
      <c r="HNH2" s="2"/>
      <c r="HNI2" s="2"/>
      <c r="HNJ2" s="2"/>
      <c r="HNK2" s="2"/>
      <c r="HNL2" s="2"/>
      <c r="HNM2" s="2"/>
      <c r="HNN2" s="2"/>
      <c r="HNO2" s="2"/>
      <c r="HNP2" s="2"/>
      <c r="HNQ2" s="2"/>
      <c r="HNR2" s="2"/>
      <c r="HNS2" s="2"/>
      <c r="HNT2" s="2"/>
      <c r="HNU2" s="2" t="s">
        <v>0</v>
      </c>
      <c r="HNV2" s="2"/>
      <c r="HNW2" s="2"/>
      <c r="HNX2" s="2"/>
      <c r="HNY2" s="2"/>
      <c r="HNZ2" s="2"/>
      <c r="HOA2" s="2"/>
      <c r="HOB2" s="2"/>
      <c r="HOC2" s="2"/>
      <c r="HOD2" s="2"/>
      <c r="HOE2" s="2"/>
      <c r="HOF2" s="2"/>
      <c r="HOG2" s="2"/>
      <c r="HOH2" s="2"/>
      <c r="HOI2" s="2"/>
      <c r="HOJ2" s="2"/>
      <c r="HOK2" s="2" t="s">
        <v>0</v>
      </c>
      <c r="HOL2" s="2"/>
      <c r="HOM2" s="2"/>
      <c r="HON2" s="2"/>
      <c r="HOO2" s="2"/>
      <c r="HOP2" s="2"/>
      <c r="HOQ2" s="2"/>
      <c r="HOR2" s="2"/>
      <c r="HOS2" s="2"/>
      <c r="HOT2" s="2"/>
      <c r="HOU2" s="2"/>
      <c r="HOV2" s="2"/>
      <c r="HOW2" s="2"/>
      <c r="HOX2" s="2"/>
      <c r="HOY2" s="2"/>
      <c r="HOZ2" s="2"/>
      <c r="HPA2" s="2" t="s">
        <v>0</v>
      </c>
      <c r="HPB2" s="2"/>
      <c r="HPC2" s="2"/>
      <c r="HPD2" s="2"/>
      <c r="HPE2" s="2"/>
      <c r="HPF2" s="2"/>
      <c r="HPG2" s="2"/>
      <c r="HPH2" s="2"/>
      <c r="HPI2" s="2"/>
      <c r="HPJ2" s="2"/>
      <c r="HPK2" s="2"/>
      <c r="HPL2" s="2"/>
      <c r="HPM2" s="2"/>
      <c r="HPN2" s="2"/>
      <c r="HPO2" s="2"/>
      <c r="HPP2" s="2"/>
      <c r="HPQ2" s="2" t="s">
        <v>0</v>
      </c>
      <c r="HPR2" s="2"/>
      <c r="HPS2" s="2"/>
      <c r="HPT2" s="2"/>
      <c r="HPU2" s="2"/>
      <c r="HPV2" s="2"/>
      <c r="HPW2" s="2"/>
      <c r="HPX2" s="2"/>
      <c r="HPY2" s="2"/>
      <c r="HPZ2" s="2"/>
      <c r="HQA2" s="2"/>
      <c r="HQB2" s="2"/>
      <c r="HQC2" s="2"/>
      <c r="HQD2" s="2"/>
      <c r="HQE2" s="2"/>
      <c r="HQF2" s="2"/>
      <c r="HQG2" s="2" t="s">
        <v>0</v>
      </c>
      <c r="HQH2" s="2"/>
      <c r="HQI2" s="2"/>
      <c r="HQJ2" s="2"/>
      <c r="HQK2" s="2"/>
      <c r="HQL2" s="2"/>
      <c r="HQM2" s="2"/>
      <c r="HQN2" s="2"/>
      <c r="HQO2" s="2"/>
      <c r="HQP2" s="2"/>
      <c r="HQQ2" s="2"/>
      <c r="HQR2" s="2"/>
      <c r="HQS2" s="2"/>
      <c r="HQT2" s="2"/>
      <c r="HQU2" s="2"/>
      <c r="HQV2" s="2"/>
      <c r="HQW2" s="2" t="s">
        <v>0</v>
      </c>
      <c r="HQX2" s="2"/>
      <c r="HQY2" s="2"/>
      <c r="HQZ2" s="2"/>
      <c r="HRA2" s="2"/>
      <c r="HRB2" s="2"/>
      <c r="HRC2" s="2"/>
      <c r="HRD2" s="2"/>
      <c r="HRE2" s="2"/>
      <c r="HRF2" s="2"/>
      <c r="HRG2" s="2"/>
      <c r="HRH2" s="2"/>
      <c r="HRI2" s="2"/>
      <c r="HRJ2" s="2"/>
      <c r="HRK2" s="2"/>
      <c r="HRL2" s="2"/>
      <c r="HRM2" s="2" t="s">
        <v>0</v>
      </c>
      <c r="HRN2" s="2"/>
      <c r="HRO2" s="2"/>
      <c r="HRP2" s="2"/>
      <c r="HRQ2" s="2"/>
      <c r="HRR2" s="2"/>
      <c r="HRS2" s="2"/>
      <c r="HRT2" s="2"/>
      <c r="HRU2" s="2"/>
      <c r="HRV2" s="2"/>
      <c r="HRW2" s="2"/>
      <c r="HRX2" s="2"/>
      <c r="HRY2" s="2"/>
      <c r="HRZ2" s="2"/>
      <c r="HSA2" s="2"/>
      <c r="HSB2" s="2"/>
      <c r="HSC2" s="2" t="s">
        <v>0</v>
      </c>
      <c r="HSD2" s="2"/>
      <c r="HSE2" s="2"/>
      <c r="HSF2" s="2"/>
      <c r="HSG2" s="2"/>
      <c r="HSH2" s="2"/>
      <c r="HSI2" s="2"/>
      <c r="HSJ2" s="2"/>
      <c r="HSK2" s="2"/>
      <c r="HSL2" s="2"/>
      <c r="HSM2" s="2"/>
      <c r="HSN2" s="2"/>
      <c r="HSO2" s="2"/>
      <c r="HSP2" s="2"/>
      <c r="HSQ2" s="2"/>
      <c r="HSR2" s="2"/>
      <c r="HSS2" s="2" t="s">
        <v>0</v>
      </c>
      <c r="HST2" s="2"/>
      <c r="HSU2" s="2"/>
      <c r="HSV2" s="2"/>
      <c r="HSW2" s="2"/>
      <c r="HSX2" s="2"/>
      <c r="HSY2" s="2"/>
      <c r="HSZ2" s="2"/>
      <c r="HTA2" s="2"/>
      <c r="HTB2" s="2"/>
      <c r="HTC2" s="2"/>
      <c r="HTD2" s="2"/>
      <c r="HTE2" s="2"/>
      <c r="HTF2" s="2"/>
      <c r="HTG2" s="2"/>
      <c r="HTH2" s="2"/>
      <c r="HTI2" s="2" t="s">
        <v>0</v>
      </c>
      <c r="HTJ2" s="2"/>
      <c r="HTK2" s="2"/>
      <c r="HTL2" s="2"/>
      <c r="HTM2" s="2"/>
      <c r="HTN2" s="2"/>
      <c r="HTO2" s="2"/>
      <c r="HTP2" s="2"/>
      <c r="HTQ2" s="2"/>
      <c r="HTR2" s="2"/>
      <c r="HTS2" s="2"/>
      <c r="HTT2" s="2"/>
      <c r="HTU2" s="2"/>
      <c r="HTV2" s="2"/>
      <c r="HTW2" s="2"/>
      <c r="HTX2" s="2"/>
      <c r="HTY2" s="2" t="s">
        <v>0</v>
      </c>
      <c r="HTZ2" s="2"/>
      <c r="HUA2" s="2"/>
      <c r="HUB2" s="2"/>
      <c r="HUC2" s="2"/>
      <c r="HUD2" s="2"/>
      <c r="HUE2" s="2"/>
      <c r="HUF2" s="2"/>
      <c r="HUG2" s="2"/>
      <c r="HUH2" s="2"/>
      <c r="HUI2" s="2"/>
      <c r="HUJ2" s="2"/>
      <c r="HUK2" s="2"/>
      <c r="HUL2" s="2"/>
      <c r="HUM2" s="2"/>
      <c r="HUN2" s="2"/>
      <c r="HUO2" s="2" t="s">
        <v>0</v>
      </c>
      <c r="HUP2" s="2"/>
      <c r="HUQ2" s="2"/>
      <c r="HUR2" s="2"/>
      <c r="HUS2" s="2"/>
      <c r="HUT2" s="2"/>
      <c r="HUU2" s="2"/>
      <c r="HUV2" s="2"/>
      <c r="HUW2" s="2"/>
      <c r="HUX2" s="2"/>
      <c r="HUY2" s="2"/>
      <c r="HUZ2" s="2"/>
      <c r="HVA2" s="2"/>
      <c r="HVB2" s="2"/>
      <c r="HVC2" s="2"/>
      <c r="HVD2" s="2"/>
      <c r="HVE2" s="2" t="s">
        <v>0</v>
      </c>
      <c r="HVF2" s="2"/>
      <c r="HVG2" s="2"/>
      <c r="HVH2" s="2"/>
      <c r="HVI2" s="2"/>
      <c r="HVJ2" s="2"/>
      <c r="HVK2" s="2"/>
      <c r="HVL2" s="2"/>
      <c r="HVM2" s="2"/>
      <c r="HVN2" s="2"/>
      <c r="HVO2" s="2"/>
      <c r="HVP2" s="2"/>
      <c r="HVQ2" s="2"/>
      <c r="HVR2" s="2"/>
      <c r="HVS2" s="2"/>
      <c r="HVT2" s="2"/>
      <c r="HVU2" s="2" t="s">
        <v>0</v>
      </c>
      <c r="HVV2" s="2"/>
      <c r="HVW2" s="2"/>
      <c r="HVX2" s="2"/>
      <c r="HVY2" s="2"/>
      <c r="HVZ2" s="2"/>
      <c r="HWA2" s="2"/>
      <c r="HWB2" s="2"/>
      <c r="HWC2" s="2"/>
      <c r="HWD2" s="2"/>
      <c r="HWE2" s="2"/>
      <c r="HWF2" s="2"/>
      <c r="HWG2" s="2"/>
      <c r="HWH2" s="2"/>
      <c r="HWI2" s="2"/>
      <c r="HWJ2" s="2"/>
      <c r="HWK2" s="2" t="s">
        <v>0</v>
      </c>
      <c r="HWL2" s="2"/>
      <c r="HWM2" s="2"/>
      <c r="HWN2" s="2"/>
      <c r="HWO2" s="2"/>
      <c r="HWP2" s="2"/>
      <c r="HWQ2" s="2"/>
      <c r="HWR2" s="2"/>
      <c r="HWS2" s="2"/>
      <c r="HWT2" s="2"/>
      <c r="HWU2" s="2"/>
      <c r="HWV2" s="2"/>
      <c r="HWW2" s="2"/>
      <c r="HWX2" s="2"/>
      <c r="HWY2" s="2"/>
      <c r="HWZ2" s="2"/>
      <c r="HXA2" s="2" t="s">
        <v>0</v>
      </c>
      <c r="HXB2" s="2"/>
      <c r="HXC2" s="2"/>
      <c r="HXD2" s="2"/>
      <c r="HXE2" s="2"/>
      <c r="HXF2" s="2"/>
      <c r="HXG2" s="2"/>
      <c r="HXH2" s="2"/>
      <c r="HXI2" s="2"/>
      <c r="HXJ2" s="2"/>
      <c r="HXK2" s="2"/>
      <c r="HXL2" s="2"/>
      <c r="HXM2" s="2"/>
      <c r="HXN2" s="2"/>
      <c r="HXO2" s="2"/>
      <c r="HXP2" s="2"/>
      <c r="HXQ2" s="2" t="s">
        <v>0</v>
      </c>
      <c r="HXR2" s="2"/>
      <c r="HXS2" s="2"/>
      <c r="HXT2" s="2"/>
      <c r="HXU2" s="2"/>
      <c r="HXV2" s="2"/>
      <c r="HXW2" s="2"/>
      <c r="HXX2" s="2"/>
      <c r="HXY2" s="2"/>
      <c r="HXZ2" s="2"/>
      <c r="HYA2" s="2"/>
      <c r="HYB2" s="2"/>
      <c r="HYC2" s="2"/>
      <c r="HYD2" s="2"/>
      <c r="HYE2" s="2"/>
      <c r="HYF2" s="2"/>
      <c r="HYG2" s="2" t="s">
        <v>0</v>
      </c>
      <c r="HYH2" s="2"/>
      <c r="HYI2" s="2"/>
      <c r="HYJ2" s="2"/>
      <c r="HYK2" s="2"/>
      <c r="HYL2" s="2"/>
      <c r="HYM2" s="2"/>
      <c r="HYN2" s="2"/>
      <c r="HYO2" s="2"/>
      <c r="HYP2" s="2"/>
      <c r="HYQ2" s="2"/>
      <c r="HYR2" s="2"/>
      <c r="HYS2" s="2"/>
      <c r="HYT2" s="2"/>
      <c r="HYU2" s="2"/>
      <c r="HYV2" s="2"/>
      <c r="HYW2" s="2" t="s">
        <v>0</v>
      </c>
      <c r="HYX2" s="2"/>
      <c r="HYY2" s="2"/>
      <c r="HYZ2" s="2"/>
      <c r="HZA2" s="2"/>
      <c r="HZB2" s="2"/>
      <c r="HZC2" s="2"/>
      <c r="HZD2" s="2"/>
      <c r="HZE2" s="2"/>
      <c r="HZF2" s="2"/>
      <c r="HZG2" s="2"/>
      <c r="HZH2" s="2"/>
      <c r="HZI2" s="2"/>
      <c r="HZJ2" s="2"/>
      <c r="HZK2" s="2"/>
      <c r="HZL2" s="2"/>
      <c r="HZM2" s="2" t="s">
        <v>0</v>
      </c>
      <c r="HZN2" s="2"/>
      <c r="HZO2" s="2"/>
      <c r="HZP2" s="2"/>
      <c r="HZQ2" s="2"/>
      <c r="HZR2" s="2"/>
      <c r="HZS2" s="2"/>
      <c r="HZT2" s="2"/>
      <c r="HZU2" s="2"/>
      <c r="HZV2" s="2"/>
      <c r="HZW2" s="2"/>
      <c r="HZX2" s="2"/>
      <c r="HZY2" s="2"/>
      <c r="HZZ2" s="2"/>
      <c r="IAA2" s="2"/>
      <c r="IAB2" s="2"/>
      <c r="IAC2" s="2" t="s">
        <v>0</v>
      </c>
      <c r="IAD2" s="2"/>
      <c r="IAE2" s="2"/>
      <c r="IAF2" s="2"/>
      <c r="IAG2" s="2"/>
      <c r="IAH2" s="2"/>
      <c r="IAI2" s="2"/>
      <c r="IAJ2" s="2"/>
      <c r="IAK2" s="2"/>
      <c r="IAL2" s="2"/>
      <c r="IAM2" s="2"/>
      <c r="IAN2" s="2"/>
      <c r="IAO2" s="2"/>
      <c r="IAP2" s="2"/>
      <c r="IAQ2" s="2"/>
      <c r="IAR2" s="2"/>
      <c r="IAS2" s="2" t="s">
        <v>0</v>
      </c>
      <c r="IAT2" s="2"/>
      <c r="IAU2" s="2"/>
      <c r="IAV2" s="2"/>
      <c r="IAW2" s="2"/>
      <c r="IAX2" s="2"/>
      <c r="IAY2" s="2"/>
      <c r="IAZ2" s="2"/>
      <c r="IBA2" s="2"/>
      <c r="IBB2" s="2"/>
      <c r="IBC2" s="2"/>
      <c r="IBD2" s="2"/>
      <c r="IBE2" s="2"/>
      <c r="IBF2" s="2"/>
      <c r="IBG2" s="2"/>
      <c r="IBH2" s="2"/>
      <c r="IBI2" s="2" t="s">
        <v>0</v>
      </c>
      <c r="IBJ2" s="2"/>
      <c r="IBK2" s="2"/>
      <c r="IBL2" s="2"/>
      <c r="IBM2" s="2"/>
      <c r="IBN2" s="2"/>
      <c r="IBO2" s="2"/>
      <c r="IBP2" s="2"/>
      <c r="IBQ2" s="2"/>
      <c r="IBR2" s="2"/>
      <c r="IBS2" s="2"/>
      <c r="IBT2" s="2"/>
      <c r="IBU2" s="2"/>
      <c r="IBV2" s="2"/>
      <c r="IBW2" s="2"/>
      <c r="IBX2" s="2"/>
      <c r="IBY2" s="2" t="s">
        <v>0</v>
      </c>
      <c r="IBZ2" s="2"/>
      <c r="ICA2" s="2"/>
      <c r="ICB2" s="2"/>
      <c r="ICC2" s="2"/>
      <c r="ICD2" s="2"/>
      <c r="ICE2" s="2"/>
      <c r="ICF2" s="2"/>
      <c r="ICG2" s="2"/>
      <c r="ICH2" s="2"/>
      <c r="ICI2" s="2"/>
      <c r="ICJ2" s="2"/>
      <c r="ICK2" s="2"/>
      <c r="ICL2" s="2"/>
      <c r="ICM2" s="2"/>
      <c r="ICN2" s="2"/>
      <c r="ICO2" s="2" t="s">
        <v>0</v>
      </c>
      <c r="ICP2" s="2"/>
      <c r="ICQ2" s="2"/>
      <c r="ICR2" s="2"/>
      <c r="ICS2" s="2"/>
      <c r="ICT2" s="2"/>
      <c r="ICU2" s="2"/>
      <c r="ICV2" s="2"/>
      <c r="ICW2" s="2"/>
      <c r="ICX2" s="2"/>
      <c r="ICY2" s="2"/>
      <c r="ICZ2" s="2"/>
      <c r="IDA2" s="2"/>
      <c r="IDB2" s="2"/>
      <c r="IDC2" s="2"/>
      <c r="IDD2" s="2"/>
      <c r="IDE2" s="2" t="s">
        <v>0</v>
      </c>
      <c r="IDF2" s="2"/>
      <c r="IDG2" s="2"/>
      <c r="IDH2" s="2"/>
      <c r="IDI2" s="2"/>
      <c r="IDJ2" s="2"/>
      <c r="IDK2" s="2"/>
      <c r="IDL2" s="2"/>
      <c r="IDM2" s="2"/>
      <c r="IDN2" s="2"/>
      <c r="IDO2" s="2"/>
      <c r="IDP2" s="2"/>
      <c r="IDQ2" s="2"/>
      <c r="IDR2" s="2"/>
      <c r="IDS2" s="2"/>
      <c r="IDT2" s="2"/>
      <c r="IDU2" s="2" t="s">
        <v>0</v>
      </c>
      <c r="IDV2" s="2"/>
      <c r="IDW2" s="2"/>
      <c r="IDX2" s="2"/>
      <c r="IDY2" s="2"/>
      <c r="IDZ2" s="2"/>
      <c r="IEA2" s="2"/>
      <c r="IEB2" s="2"/>
      <c r="IEC2" s="2"/>
      <c r="IED2" s="2"/>
      <c r="IEE2" s="2"/>
      <c r="IEF2" s="2"/>
      <c r="IEG2" s="2"/>
      <c r="IEH2" s="2"/>
      <c r="IEI2" s="2"/>
      <c r="IEJ2" s="2"/>
      <c r="IEK2" s="2" t="s">
        <v>0</v>
      </c>
      <c r="IEL2" s="2"/>
      <c r="IEM2" s="2"/>
      <c r="IEN2" s="2"/>
      <c r="IEO2" s="2"/>
      <c r="IEP2" s="2"/>
      <c r="IEQ2" s="2"/>
      <c r="IER2" s="2"/>
      <c r="IES2" s="2"/>
      <c r="IET2" s="2"/>
      <c r="IEU2" s="2"/>
      <c r="IEV2" s="2"/>
      <c r="IEW2" s="2"/>
      <c r="IEX2" s="2"/>
      <c r="IEY2" s="2"/>
      <c r="IEZ2" s="2"/>
      <c r="IFA2" s="2" t="s">
        <v>0</v>
      </c>
      <c r="IFB2" s="2"/>
      <c r="IFC2" s="2"/>
      <c r="IFD2" s="2"/>
      <c r="IFE2" s="2"/>
      <c r="IFF2" s="2"/>
      <c r="IFG2" s="2"/>
      <c r="IFH2" s="2"/>
      <c r="IFI2" s="2"/>
      <c r="IFJ2" s="2"/>
      <c r="IFK2" s="2"/>
      <c r="IFL2" s="2"/>
      <c r="IFM2" s="2"/>
      <c r="IFN2" s="2"/>
      <c r="IFO2" s="2"/>
      <c r="IFP2" s="2"/>
      <c r="IFQ2" s="2" t="s">
        <v>0</v>
      </c>
      <c r="IFR2" s="2"/>
      <c r="IFS2" s="2"/>
      <c r="IFT2" s="2"/>
      <c r="IFU2" s="2"/>
      <c r="IFV2" s="2"/>
      <c r="IFW2" s="2"/>
      <c r="IFX2" s="2"/>
      <c r="IFY2" s="2"/>
      <c r="IFZ2" s="2"/>
      <c r="IGA2" s="2"/>
      <c r="IGB2" s="2"/>
      <c r="IGC2" s="2"/>
      <c r="IGD2" s="2"/>
      <c r="IGE2" s="2"/>
      <c r="IGF2" s="2"/>
      <c r="IGG2" s="2" t="s">
        <v>0</v>
      </c>
      <c r="IGH2" s="2"/>
      <c r="IGI2" s="2"/>
      <c r="IGJ2" s="2"/>
      <c r="IGK2" s="2"/>
      <c r="IGL2" s="2"/>
      <c r="IGM2" s="2"/>
      <c r="IGN2" s="2"/>
      <c r="IGO2" s="2"/>
      <c r="IGP2" s="2"/>
      <c r="IGQ2" s="2"/>
      <c r="IGR2" s="2"/>
      <c r="IGS2" s="2"/>
      <c r="IGT2" s="2"/>
      <c r="IGU2" s="2"/>
      <c r="IGV2" s="2"/>
      <c r="IGW2" s="2" t="s">
        <v>0</v>
      </c>
      <c r="IGX2" s="2"/>
      <c r="IGY2" s="2"/>
      <c r="IGZ2" s="2"/>
      <c r="IHA2" s="2"/>
      <c r="IHB2" s="2"/>
      <c r="IHC2" s="2"/>
      <c r="IHD2" s="2"/>
      <c r="IHE2" s="2"/>
      <c r="IHF2" s="2"/>
      <c r="IHG2" s="2"/>
      <c r="IHH2" s="2"/>
      <c r="IHI2" s="2"/>
      <c r="IHJ2" s="2"/>
      <c r="IHK2" s="2"/>
      <c r="IHL2" s="2"/>
      <c r="IHM2" s="2" t="s">
        <v>0</v>
      </c>
      <c r="IHN2" s="2"/>
      <c r="IHO2" s="2"/>
      <c r="IHP2" s="2"/>
      <c r="IHQ2" s="2"/>
      <c r="IHR2" s="2"/>
      <c r="IHS2" s="2"/>
      <c r="IHT2" s="2"/>
      <c r="IHU2" s="2"/>
      <c r="IHV2" s="2"/>
      <c r="IHW2" s="2"/>
      <c r="IHX2" s="2"/>
      <c r="IHY2" s="2"/>
      <c r="IHZ2" s="2"/>
      <c r="IIA2" s="2"/>
      <c r="IIB2" s="2"/>
      <c r="IIC2" s="2" t="s">
        <v>0</v>
      </c>
      <c r="IID2" s="2"/>
      <c r="IIE2" s="2"/>
      <c r="IIF2" s="2"/>
      <c r="IIG2" s="2"/>
      <c r="IIH2" s="2"/>
      <c r="III2" s="2"/>
      <c r="IIJ2" s="2"/>
      <c r="IIK2" s="2"/>
      <c r="IIL2" s="2"/>
      <c r="IIM2" s="2"/>
      <c r="IIN2" s="2"/>
      <c r="IIO2" s="2"/>
      <c r="IIP2" s="2"/>
      <c r="IIQ2" s="2"/>
      <c r="IIR2" s="2"/>
      <c r="IIS2" s="2" t="s">
        <v>0</v>
      </c>
      <c r="IIT2" s="2"/>
      <c r="IIU2" s="2"/>
      <c r="IIV2" s="2"/>
      <c r="IIW2" s="2"/>
      <c r="IIX2" s="2"/>
      <c r="IIY2" s="2"/>
      <c r="IIZ2" s="2"/>
      <c r="IJA2" s="2"/>
      <c r="IJB2" s="2"/>
      <c r="IJC2" s="2"/>
      <c r="IJD2" s="2"/>
      <c r="IJE2" s="2"/>
      <c r="IJF2" s="2"/>
      <c r="IJG2" s="2"/>
      <c r="IJH2" s="2"/>
      <c r="IJI2" s="2" t="s">
        <v>0</v>
      </c>
      <c r="IJJ2" s="2"/>
      <c r="IJK2" s="2"/>
      <c r="IJL2" s="2"/>
      <c r="IJM2" s="2"/>
      <c r="IJN2" s="2"/>
      <c r="IJO2" s="2"/>
      <c r="IJP2" s="2"/>
      <c r="IJQ2" s="2"/>
      <c r="IJR2" s="2"/>
      <c r="IJS2" s="2"/>
      <c r="IJT2" s="2"/>
      <c r="IJU2" s="2"/>
      <c r="IJV2" s="2"/>
      <c r="IJW2" s="2"/>
      <c r="IJX2" s="2"/>
      <c r="IJY2" s="2" t="s">
        <v>0</v>
      </c>
      <c r="IJZ2" s="2"/>
      <c r="IKA2" s="2"/>
      <c r="IKB2" s="2"/>
      <c r="IKC2" s="2"/>
      <c r="IKD2" s="2"/>
      <c r="IKE2" s="2"/>
      <c r="IKF2" s="2"/>
      <c r="IKG2" s="2"/>
      <c r="IKH2" s="2"/>
      <c r="IKI2" s="2"/>
      <c r="IKJ2" s="2"/>
      <c r="IKK2" s="2"/>
      <c r="IKL2" s="2"/>
      <c r="IKM2" s="2"/>
      <c r="IKN2" s="2"/>
      <c r="IKO2" s="2" t="s">
        <v>0</v>
      </c>
      <c r="IKP2" s="2"/>
      <c r="IKQ2" s="2"/>
      <c r="IKR2" s="2"/>
      <c r="IKS2" s="2"/>
      <c r="IKT2" s="2"/>
      <c r="IKU2" s="2"/>
      <c r="IKV2" s="2"/>
      <c r="IKW2" s="2"/>
      <c r="IKX2" s="2"/>
      <c r="IKY2" s="2"/>
      <c r="IKZ2" s="2"/>
      <c r="ILA2" s="2"/>
      <c r="ILB2" s="2"/>
      <c r="ILC2" s="2"/>
      <c r="ILD2" s="2"/>
      <c r="ILE2" s="2" t="s">
        <v>0</v>
      </c>
      <c r="ILF2" s="2"/>
      <c r="ILG2" s="2"/>
      <c r="ILH2" s="2"/>
      <c r="ILI2" s="2"/>
      <c r="ILJ2" s="2"/>
      <c r="ILK2" s="2"/>
      <c r="ILL2" s="2"/>
      <c r="ILM2" s="2"/>
      <c r="ILN2" s="2"/>
      <c r="ILO2" s="2"/>
      <c r="ILP2" s="2"/>
      <c r="ILQ2" s="2"/>
      <c r="ILR2" s="2"/>
      <c r="ILS2" s="2"/>
      <c r="ILT2" s="2"/>
      <c r="ILU2" s="2" t="s">
        <v>0</v>
      </c>
      <c r="ILV2" s="2"/>
      <c r="ILW2" s="2"/>
      <c r="ILX2" s="2"/>
      <c r="ILY2" s="2"/>
      <c r="ILZ2" s="2"/>
      <c r="IMA2" s="2"/>
      <c r="IMB2" s="2"/>
      <c r="IMC2" s="2"/>
      <c r="IMD2" s="2"/>
      <c r="IME2" s="2"/>
      <c r="IMF2" s="2"/>
      <c r="IMG2" s="2"/>
      <c r="IMH2" s="2"/>
      <c r="IMI2" s="2"/>
      <c r="IMJ2" s="2"/>
      <c r="IMK2" s="2" t="s">
        <v>0</v>
      </c>
      <c r="IML2" s="2"/>
      <c r="IMM2" s="2"/>
      <c r="IMN2" s="2"/>
      <c r="IMO2" s="2"/>
      <c r="IMP2" s="2"/>
      <c r="IMQ2" s="2"/>
      <c r="IMR2" s="2"/>
      <c r="IMS2" s="2"/>
      <c r="IMT2" s="2"/>
      <c r="IMU2" s="2"/>
      <c r="IMV2" s="2"/>
      <c r="IMW2" s="2"/>
      <c r="IMX2" s="2"/>
      <c r="IMY2" s="2"/>
      <c r="IMZ2" s="2"/>
      <c r="INA2" s="2" t="s">
        <v>0</v>
      </c>
      <c r="INB2" s="2"/>
      <c r="INC2" s="2"/>
      <c r="IND2" s="2"/>
      <c r="INE2" s="2"/>
      <c r="INF2" s="2"/>
      <c r="ING2" s="2"/>
      <c r="INH2" s="2"/>
      <c r="INI2" s="2"/>
      <c r="INJ2" s="2"/>
      <c r="INK2" s="2"/>
      <c r="INL2" s="2"/>
      <c r="INM2" s="2"/>
      <c r="INN2" s="2"/>
      <c r="INO2" s="2"/>
      <c r="INP2" s="2"/>
      <c r="INQ2" s="2" t="s">
        <v>0</v>
      </c>
      <c r="INR2" s="2"/>
      <c r="INS2" s="2"/>
      <c r="INT2" s="2"/>
      <c r="INU2" s="2"/>
      <c r="INV2" s="2"/>
      <c r="INW2" s="2"/>
      <c r="INX2" s="2"/>
      <c r="INY2" s="2"/>
      <c r="INZ2" s="2"/>
      <c r="IOA2" s="2"/>
      <c r="IOB2" s="2"/>
      <c r="IOC2" s="2"/>
      <c r="IOD2" s="2"/>
      <c r="IOE2" s="2"/>
      <c r="IOF2" s="2"/>
      <c r="IOG2" s="2" t="s">
        <v>0</v>
      </c>
      <c r="IOH2" s="2"/>
      <c r="IOI2" s="2"/>
      <c r="IOJ2" s="2"/>
      <c r="IOK2" s="2"/>
      <c r="IOL2" s="2"/>
      <c r="IOM2" s="2"/>
      <c r="ION2" s="2"/>
      <c r="IOO2" s="2"/>
      <c r="IOP2" s="2"/>
      <c r="IOQ2" s="2"/>
      <c r="IOR2" s="2"/>
      <c r="IOS2" s="2"/>
      <c r="IOT2" s="2"/>
      <c r="IOU2" s="2"/>
      <c r="IOV2" s="2"/>
      <c r="IOW2" s="2" t="s">
        <v>0</v>
      </c>
      <c r="IOX2" s="2"/>
      <c r="IOY2" s="2"/>
      <c r="IOZ2" s="2"/>
      <c r="IPA2" s="2"/>
      <c r="IPB2" s="2"/>
      <c r="IPC2" s="2"/>
      <c r="IPD2" s="2"/>
      <c r="IPE2" s="2"/>
      <c r="IPF2" s="2"/>
      <c r="IPG2" s="2"/>
      <c r="IPH2" s="2"/>
      <c r="IPI2" s="2"/>
      <c r="IPJ2" s="2"/>
      <c r="IPK2" s="2"/>
      <c r="IPL2" s="2"/>
      <c r="IPM2" s="2" t="s">
        <v>0</v>
      </c>
      <c r="IPN2" s="2"/>
      <c r="IPO2" s="2"/>
      <c r="IPP2" s="2"/>
      <c r="IPQ2" s="2"/>
      <c r="IPR2" s="2"/>
      <c r="IPS2" s="2"/>
      <c r="IPT2" s="2"/>
      <c r="IPU2" s="2"/>
      <c r="IPV2" s="2"/>
      <c r="IPW2" s="2"/>
      <c r="IPX2" s="2"/>
      <c r="IPY2" s="2"/>
      <c r="IPZ2" s="2"/>
      <c r="IQA2" s="2"/>
      <c r="IQB2" s="2"/>
      <c r="IQC2" s="2" t="s">
        <v>0</v>
      </c>
      <c r="IQD2" s="2"/>
      <c r="IQE2" s="2"/>
      <c r="IQF2" s="2"/>
      <c r="IQG2" s="2"/>
      <c r="IQH2" s="2"/>
      <c r="IQI2" s="2"/>
      <c r="IQJ2" s="2"/>
      <c r="IQK2" s="2"/>
      <c r="IQL2" s="2"/>
      <c r="IQM2" s="2"/>
      <c r="IQN2" s="2"/>
      <c r="IQO2" s="2"/>
      <c r="IQP2" s="2"/>
      <c r="IQQ2" s="2"/>
      <c r="IQR2" s="2"/>
      <c r="IQS2" s="2" t="s">
        <v>0</v>
      </c>
      <c r="IQT2" s="2"/>
      <c r="IQU2" s="2"/>
      <c r="IQV2" s="2"/>
      <c r="IQW2" s="2"/>
      <c r="IQX2" s="2"/>
      <c r="IQY2" s="2"/>
      <c r="IQZ2" s="2"/>
      <c r="IRA2" s="2"/>
      <c r="IRB2" s="2"/>
      <c r="IRC2" s="2"/>
      <c r="IRD2" s="2"/>
      <c r="IRE2" s="2"/>
      <c r="IRF2" s="2"/>
      <c r="IRG2" s="2"/>
      <c r="IRH2" s="2"/>
      <c r="IRI2" s="2" t="s">
        <v>0</v>
      </c>
      <c r="IRJ2" s="2"/>
      <c r="IRK2" s="2"/>
      <c r="IRL2" s="2"/>
      <c r="IRM2" s="2"/>
      <c r="IRN2" s="2"/>
      <c r="IRO2" s="2"/>
      <c r="IRP2" s="2"/>
      <c r="IRQ2" s="2"/>
      <c r="IRR2" s="2"/>
      <c r="IRS2" s="2"/>
      <c r="IRT2" s="2"/>
      <c r="IRU2" s="2"/>
      <c r="IRV2" s="2"/>
      <c r="IRW2" s="2"/>
      <c r="IRX2" s="2"/>
      <c r="IRY2" s="2" t="s">
        <v>0</v>
      </c>
      <c r="IRZ2" s="2"/>
      <c r="ISA2" s="2"/>
      <c r="ISB2" s="2"/>
      <c r="ISC2" s="2"/>
      <c r="ISD2" s="2"/>
      <c r="ISE2" s="2"/>
      <c r="ISF2" s="2"/>
      <c r="ISG2" s="2"/>
      <c r="ISH2" s="2"/>
      <c r="ISI2" s="2"/>
      <c r="ISJ2" s="2"/>
      <c r="ISK2" s="2"/>
      <c r="ISL2" s="2"/>
      <c r="ISM2" s="2"/>
      <c r="ISN2" s="2"/>
      <c r="ISO2" s="2" t="s">
        <v>0</v>
      </c>
      <c r="ISP2" s="2"/>
      <c r="ISQ2" s="2"/>
      <c r="ISR2" s="2"/>
      <c r="ISS2" s="2"/>
      <c r="IST2" s="2"/>
      <c r="ISU2" s="2"/>
      <c r="ISV2" s="2"/>
      <c r="ISW2" s="2"/>
      <c r="ISX2" s="2"/>
      <c r="ISY2" s="2"/>
      <c r="ISZ2" s="2"/>
      <c r="ITA2" s="2"/>
      <c r="ITB2" s="2"/>
      <c r="ITC2" s="2"/>
      <c r="ITD2" s="2"/>
      <c r="ITE2" s="2" t="s">
        <v>0</v>
      </c>
      <c r="ITF2" s="2"/>
      <c r="ITG2" s="2"/>
      <c r="ITH2" s="2"/>
      <c r="ITI2" s="2"/>
      <c r="ITJ2" s="2"/>
      <c r="ITK2" s="2"/>
      <c r="ITL2" s="2"/>
      <c r="ITM2" s="2"/>
      <c r="ITN2" s="2"/>
      <c r="ITO2" s="2"/>
      <c r="ITP2" s="2"/>
      <c r="ITQ2" s="2"/>
      <c r="ITR2" s="2"/>
      <c r="ITS2" s="2"/>
      <c r="ITT2" s="2"/>
      <c r="ITU2" s="2" t="s">
        <v>0</v>
      </c>
      <c r="ITV2" s="2"/>
      <c r="ITW2" s="2"/>
      <c r="ITX2" s="2"/>
      <c r="ITY2" s="2"/>
      <c r="ITZ2" s="2"/>
      <c r="IUA2" s="2"/>
      <c r="IUB2" s="2"/>
      <c r="IUC2" s="2"/>
      <c r="IUD2" s="2"/>
      <c r="IUE2" s="2"/>
      <c r="IUF2" s="2"/>
      <c r="IUG2" s="2"/>
      <c r="IUH2" s="2"/>
      <c r="IUI2" s="2"/>
      <c r="IUJ2" s="2"/>
      <c r="IUK2" s="2" t="s">
        <v>0</v>
      </c>
      <c r="IUL2" s="2"/>
      <c r="IUM2" s="2"/>
      <c r="IUN2" s="2"/>
      <c r="IUO2" s="2"/>
      <c r="IUP2" s="2"/>
      <c r="IUQ2" s="2"/>
      <c r="IUR2" s="2"/>
      <c r="IUS2" s="2"/>
      <c r="IUT2" s="2"/>
      <c r="IUU2" s="2"/>
      <c r="IUV2" s="2"/>
      <c r="IUW2" s="2"/>
      <c r="IUX2" s="2"/>
      <c r="IUY2" s="2"/>
      <c r="IUZ2" s="2"/>
      <c r="IVA2" s="2" t="s">
        <v>0</v>
      </c>
      <c r="IVB2" s="2"/>
      <c r="IVC2" s="2"/>
      <c r="IVD2" s="2"/>
      <c r="IVE2" s="2"/>
      <c r="IVF2" s="2"/>
      <c r="IVG2" s="2"/>
      <c r="IVH2" s="2"/>
      <c r="IVI2" s="2"/>
      <c r="IVJ2" s="2"/>
      <c r="IVK2" s="2"/>
      <c r="IVL2" s="2"/>
      <c r="IVM2" s="2"/>
      <c r="IVN2" s="2"/>
      <c r="IVO2" s="2"/>
      <c r="IVP2" s="2"/>
      <c r="IVQ2" s="2" t="s">
        <v>0</v>
      </c>
      <c r="IVR2" s="2"/>
      <c r="IVS2" s="2"/>
      <c r="IVT2" s="2"/>
      <c r="IVU2" s="2"/>
      <c r="IVV2" s="2"/>
      <c r="IVW2" s="2"/>
      <c r="IVX2" s="2"/>
      <c r="IVY2" s="2"/>
      <c r="IVZ2" s="2"/>
      <c r="IWA2" s="2"/>
      <c r="IWB2" s="2"/>
      <c r="IWC2" s="2"/>
      <c r="IWD2" s="2"/>
      <c r="IWE2" s="2"/>
      <c r="IWF2" s="2"/>
      <c r="IWG2" s="2" t="s">
        <v>0</v>
      </c>
      <c r="IWH2" s="2"/>
      <c r="IWI2" s="2"/>
      <c r="IWJ2" s="2"/>
      <c r="IWK2" s="2"/>
      <c r="IWL2" s="2"/>
      <c r="IWM2" s="2"/>
      <c r="IWN2" s="2"/>
      <c r="IWO2" s="2"/>
      <c r="IWP2" s="2"/>
      <c r="IWQ2" s="2"/>
      <c r="IWR2" s="2"/>
      <c r="IWS2" s="2"/>
      <c r="IWT2" s="2"/>
      <c r="IWU2" s="2"/>
      <c r="IWV2" s="2"/>
      <c r="IWW2" s="2" t="s">
        <v>0</v>
      </c>
      <c r="IWX2" s="2"/>
      <c r="IWY2" s="2"/>
      <c r="IWZ2" s="2"/>
      <c r="IXA2" s="2"/>
      <c r="IXB2" s="2"/>
      <c r="IXC2" s="2"/>
      <c r="IXD2" s="2"/>
      <c r="IXE2" s="2"/>
      <c r="IXF2" s="2"/>
      <c r="IXG2" s="2"/>
      <c r="IXH2" s="2"/>
      <c r="IXI2" s="2"/>
      <c r="IXJ2" s="2"/>
      <c r="IXK2" s="2"/>
      <c r="IXL2" s="2"/>
      <c r="IXM2" s="2" t="s">
        <v>0</v>
      </c>
      <c r="IXN2" s="2"/>
      <c r="IXO2" s="2"/>
      <c r="IXP2" s="2"/>
      <c r="IXQ2" s="2"/>
      <c r="IXR2" s="2"/>
      <c r="IXS2" s="2"/>
      <c r="IXT2" s="2"/>
      <c r="IXU2" s="2"/>
      <c r="IXV2" s="2"/>
      <c r="IXW2" s="2"/>
      <c r="IXX2" s="2"/>
      <c r="IXY2" s="2"/>
      <c r="IXZ2" s="2"/>
      <c r="IYA2" s="2"/>
      <c r="IYB2" s="2"/>
      <c r="IYC2" s="2" t="s">
        <v>0</v>
      </c>
      <c r="IYD2" s="2"/>
      <c r="IYE2" s="2"/>
      <c r="IYF2" s="2"/>
      <c r="IYG2" s="2"/>
      <c r="IYH2" s="2"/>
      <c r="IYI2" s="2"/>
      <c r="IYJ2" s="2"/>
      <c r="IYK2" s="2"/>
      <c r="IYL2" s="2"/>
      <c r="IYM2" s="2"/>
      <c r="IYN2" s="2"/>
      <c r="IYO2" s="2"/>
      <c r="IYP2" s="2"/>
      <c r="IYQ2" s="2"/>
      <c r="IYR2" s="2"/>
      <c r="IYS2" s="2" t="s">
        <v>0</v>
      </c>
      <c r="IYT2" s="2"/>
      <c r="IYU2" s="2"/>
      <c r="IYV2" s="2"/>
      <c r="IYW2" s="2"/>
      <c r="IYX2" s="2"/>
      <c r="IYY2" s="2"/>
      <c r="IYZ2" s="2"/>
      <c r="IZA2" s="2"/>
      <c r="IZB2" s="2"/>
      <c r="IZC2" s="2"/>
      <c r="IZD2" s="2"/>
      <c r="IZE2" s="2"/>
      <c r="IZF2" s="2"/>
      <c r="IZG2" s="2"/>
      <c r="IZH2" s="2"/>
      <c r="IZI2" s="2" t="s">
        <v>0</v>
      </c>
      <c r="IZJ2" s="2"/>
      <c r="IZK2" s="2"/>
      <c r="IZL2" s="2"/>
      <c r="IZM2" s="2"/>
      <c r="IZN2" s="2"/>
      <c r="IZO2" s="2"/>
      <c r="IZP2" s="2"/>
      <c r="IZQ2" s="2"/>
      <c r="IZR2" s="2"/>
      <c r="IZS2" s="2"/>
      <c r="IZT2" s="2"/>
      <c r="IZU2" s="2"/>
      <c r="IZV2" s="2"/>
      <c r="IZW2" s="2"/>
      <c r="IZX2" s="2"/>
      <c r="IZY2" s="2" t="s">
        <v>0</v>
      </c>
      <c r="IZZ2" s="2"/>
      <c r="JAA2" s="2"/>
      <c r="JAB2" s="2"/>
      <c r="JAC2" s="2"/>
      <c r="JAD2" s="2"/>
      <c r="JAE2" s="2"/>
      <c r="JAF2" s="2"/>
      <c r="JAG2" s="2"/>
      <c r="JAH2" s="2"/>
      <c r="JAI2" s="2"/>
      <c r="JAJ2" s="2"/>
      <c r="JAK2" s="2"/>
      <c r="JAL2" s="2"/>
      <c r="JAM2" s="2"/>
      <c r="JAN2" s="2"/>
      <c r="JAO2" s="2" t="s">
        <v>0</v>
      </c>
      <c r="JAP2" s="2"/>
      <c r="JAQ2" s="2"/>
      <c r="JAR2" s="2"/>
      <c r="JAS2" s="2"/>
      <c r="JAT2" s="2"/>
      <c r="JAU2" s="2"/>
      <c r="JAV2" s="2"/>
      <c r="JAW2" s="2"/>
      <c r="JAX2" s="2"/>
      <c r="JAY2" s="2"/>
      <c r="JAZ2" s="2"/>
      <c r="JBA2" s="2"/>
      <c r="JBB2" s="2"/>
      <c r="JBC2" s="2"/>
      <c r="JBD2" s="2"/>
      <c r="JBE2" s="2" t="s">
        <v>0</v>
      </c>
      <c r="JBF2" s="2"/>
      <c r="JBG2" s="2"/>
      <c r="JBH2" s="2"/>
      <c r="JBI2" s="2"/>
      <c r="JBJ2" s="2"/>
      <c r="JBK2" s="2"/>
      <c r="JBL2" s="2"/>
      <c r="JBM2" s="2"/>
      <c r="JBN2" s="2"/>
      <c r="JBO2" s="2"/>
      <c r="JBP2" s="2"/>
      <c r="JBQ2" s="2"/>
      <c r="JBR2" s="2"/>
      <c r="JBS2" s="2"/>
      <c r="JBT2" s="2"/>
      <c r="JBU2" s="2" t="s">
        <v>0</v>
      </c>
      <c r="JBV2" s="2"/>
      <c r="JBW2" s="2"/>
      <c r="JBX2" s="2"/>
      <c r="JBY2" s="2"/>
      <c r="JBZ2" s="2"/>
      <c r="JCA2" s="2"/>
      <c r="JCB2" s="2"/>
      <c r="JCC2" s="2"/>
      <c r="JCD2" s="2"/>
      <c r="JCE2" s="2"/>
      <c r="JCF2" s="2"/>
      <c r="JCG2" s="2"/>
      <c r="JCH2" s="2"/>
      <c r="JCI2" s="2"/>
      <c r="JCJ2" s="2"/>
      <c r="JCK2" s="2" t="s">
        <v>0</v>
      </c>
      <c r="JCL2" s="2"/>
      <c r="JCM2" s="2"/>
      <c r="JCN2" s="2"/>
      <c r="JCO2" s="2"/>
      <c r="JCP2" s="2"/>
      <c r="JCQ2" s="2"/>
      <c r="JCR2" s="2"/>
      <c r="JCS2" s="2"/>
      <c r="JCT2" s="2"/>
      <c r="JCU2" s="2"/>
      <c r="JCV2" s="2"/>
      <c r="JCW2" s="2"/>
      <c r="JCX2" s="2"/>
      <c r="JCY2" s="2"/>
      <c r="JCZ2" s="2"/>
      <c r="JDA2" s="2" t="s">
        <v>0</v>
      </c>
      <c r="JDB2" s="2"/>
      <c r="JDC2" s="2"/>
      <c r="JDD2" s="2"/>
      <c r="JDE2" s="2"/>
      <c r="JDF2" s="2"/>
      <c r="JDG2" s="2"/>
      <c r="JDH2" s="2"/>
      <c r="JDI2" s="2"/>
      <c r="JDJ2" s="2"/>
      <c r="JDK2" s="2"/>
      <c r="JDL2" s="2"/>
      <c r="JDM2" s="2"/>
      <c r="JDN2" s="2"/>
      <c r="JDO2" s="2"/>
      <c r="JDP2" s="2"/>
      <c r="JDQ2" s="2" t="s">
        <v>0</v>
      </c>
      <c r="JDR2" s="2"/>
      <c r="JDS2" s="2"/>
      <c r="JDT2" s="2"/>
      <c r="JDU2" s="2"/>
      <c r="JDV2" s="2"/>
      <c r="JDW2" s="2"/>
      <c r="JDX2" s="2"/>
      <c r="JDY2" s="2"/>
      <c r="JDZ2" s="2"/>
      <c r="JEA2" s="2"/>
      <c r="JEB2" s="2"/>
      <c r="JEC2" s="2"/>
      <c r="JED2" s="2"/>
      <c r="JEE2" s="2"/>
      <c r="JEF2" s="2"/>
      <c r="JEG2" s="2" t="s">
        <v>0</v>
      </c>
      <c r="JEH2" s="2"/>
      <c r="JEI2" s="2"/>
      <c r="JEJ2" s="2"/>
      <c r="JEK2" s="2"/>
      <c r="JEL2" s="2"/>
      <c r="JEM2" s="2"/>
      <c r="JEN2" s="2"/>
      <c r="JEO2" s="2"/>
      <c r="JEP2" s="2"/>
      <c r="JEQ2" s="2"/>
      <c r="JER2" s="2"/>
      <c r="JES2" s="2"/>
      <c r="JET2" s="2"/>
      <c r="JEU2" s="2"/>
      <c r="JEV2" s="2"/>
      <c r="JEW2" s="2" t="s">
        <v>0</v>
      </c>
      <c r="JEX2" s="2"/>
      <c r="JEY2" s="2"/>
      <c r="JEZ2" s="2"/>
      <c r="JFA2" s="2"/>
      <c r="JFB2" s="2"/>
      <c r="JFC2" s="2"/>
      <c r="JFD2" s="2"/>
      <c r="JFE2" s="2"/>
      <c r="JFF2" s="2"/>
      <c r="JFG2" s="2"/>
      <c r="JFH2" s="2"/>
      <c r="JFI2" s="2"/>
      <c r="JFJ2" s="2"/>
      <c r="JFK2" s="2"/>
      <c r="JFL2" s="2"/>
      <c r="JFM2" s="2" t="s">
        <v>0</v>
      </c>
      <c r="JFN2" s="2"/>
      <c r="JFO2" s="2"/>
      <c r="JFP2" s="2"/>
      <c r="JFQ2" s="2"/>
      <c r="JFR2" s="2"/>
      <c r="JFS2" s="2"/>
      <c r="JFT2" s="2"/>
      <c r="JFU2" s="2"/>
      <c r="JFV2" s="2"/>
      <c r="JFW2" s="2"/>
      <c r="JFX2" s="2"/>
      <c r="JFY2" s="2"/>
      <c r="JFZ2" s="2"/>
      <c r="JGA2" s="2"/>
      <c r="JGB2" s="2"/>
      <c r="JGC2" s="2" t="s">
        <v>0</v>
      </c>
      <c r="JGD2" s="2"/>
      <c r="JGE2" s="2"/>
      <c r="JGF2" s="2"/>
      <c r="JGG2" s="2"/>
      <c r="JGH2" s="2"/>
      <c r="JGI2" s="2"/>
      <c r="JGJ2" s="2"/>
      <c r="JGK2" s="2"/>
      <c r="JGL2" s="2"/>
      <c r="JGM2" s="2"/>
      <c r="JGN2" s="2"/>
      <c r="JGO2" s="2"/>
      <c r="JGP2" s="2"/>
      <c r="JGQ2" s="2"/>
      <c r="JGR2" s="2"/>
      <c r="JGS2" s="2" t="s">
        <v>0</v>
      </c>
      <c r="JGT2" s="2"/>
      <c r="JGU2" s="2"/>
      <c r="JGV2" s="2"/>
      <c r="JGW2" s="2"/>
      <c r="JGX2" s="2"/>
      <c r="JGY2" s="2"/>
      <c r="JGZ2" s="2"/>
      <c r="JHA2" s="2"/>
      <c r="JHB2" s="2"/>
      <c r="JHC2" s="2"/>
      <c r="JHD2" s="2"/>
      <c r="JHE2" s="2"/>
      <c r="JHF2" s="2"/>
      <c r="JHG2" s="2"/>
      <c r="JHH2" s="2"/>
      <c r="JHI2" s="2" t="s">
        <v>0</v>
      </c>
      <c r="JHJ2" s="2"/>
      <c r="JHK2" s="2"/>
      <c r="JHL2" s="2"/>
      <c r="JHM2" s="2"/>
      <c r="JHN2" s="2"/>
      <c r="JHO2" s="2"/>
      <c r="JHP2" s="2"/>
      <c r="JHQ2" s="2"/>
      <c r="JHR2" s="2"/>
      <c r="JHS2" s="2"/>
      <c r="JHT2" s="2"/>
      <c r="JHU2" s="2"/>
      <c r="JHV2" s="2"/>
      <c r="JHW2" s="2"/>
      <c r="JHX2" s="2"/>
      <c r="JHY2" s="2" t="s">
        <v>0</v>
      </c>
      <c r="JHZ2" s="2"/>
      <c r="JIA2" s="2"/>
      <c r="JIB2" s="2"/>
      <c r="JIC2" s="2"/>
      <c r="JID2" s="2"/>
      <c r="JIE2" s="2"/>
      <c r="JIF2" s="2"/>
      <c r="JIG2" s="2"/>
      <c r="JIH2" s="2"/>
      <c r="JII2" s="2"/>
      <c r="JIJ2" s="2"/>
      <c r="JIK2" s="2"/>
      <c r="JIL2" s="2"/>
      <c r="JIM2" s="2"/>
      <c r="JIN2" s="2"/>
      <c r="JIO2" s="2" t="s">
        <v>0</v>
      </c>
      <c r="JIP2" s="2"/>
      <c r="JIQ2" s="2"/>
      <c r="JIR2" s="2"/>
      <c r="JIS2" s="2"/>
      <c r="JIT2" s="2"/>
      <c r="JIU2" s="2"/>
      <c r="JIV2" s="2"/>
      <c r="JIW2" s="2"/>
      <c r="JIX2" s="2"/>
      <c r="JIY2" s="2"/>
      <c r="JIZ2" s="2"/>
      <c r="JJA2" s="2"/>
      <c r="JJB2" s="2"/>
      <c r="JJC2" s="2"/>
      <c r="JJD2" s="2"/>
      <c r="JJE2" s="2" t="s">
        <v>0</v>
      </c>
      <c r="JJF2" s="2"/>
      <c r="JJG2" s="2"/>
      <c r="JJH2" s="2"/>
      <c r="JJI2" s="2"/>
      <c r="JJJ2" s="2"/>
      <c r="JJK2" s="2"/>
      <c r="JJL2" s="2"/>
      <c r="JJM2" s="2"/>
      <c r="JJN2" s="2"/>
      <c r="JJO2" s="2"/>
      <c r="JJP2" s="2"/>
      <c r="JJQ2" s="2"/>
      <c r="JJR2" s="2"/>
      <c r="JJS2" s="2"/>
      <c r="JJT2" s="2"/>
      <c r="JJU2" s="2" t="s">
        <v>0</v>
      </c>
      <c r="JJV2" s="2"/>
      <c r="JJW2" s="2"/>
      <c r="JJX2" s="2"/>
      <c r="JJY2" s="2"/>
      <c r="JJZ2" s="2"/>
      <c r="JKA2" s="2"/>
      <c r="JKB2" s="2"/>
      <c r="JKC2" s="2"/>
      <c r="JKD2" s="2"/>
      <c r="JKE2" s="2"/>
      <c r="JKF2" s="2"/>
      <c r="JKG2" s="2"/>
      <c r="JKH2" s="2"/>
      <c r="JKI2" s="2"/>
      <c r="JKJ2" s="2"/>
      <c r="JKK2" s="2" t="s">
        <v>0</v>
      </c>
      <c r="JKL2" s="2"/>
      <c r="JKM2" s="2"/>
      <c r="JKN2" s="2"/>
      <c r="JKO2" s="2"/>
      <c r="JKP2" s="2"/>
      <c r="JKQ2" s="2"/>
      <c r="JKR2" s="2"/>
      <c r="JKS2" s="2"/>
      <c r="JKT2" s="2"/>
      <c r="JKU2" s="2"/>
      <c r="JKV2" s="2"/>
      <c r="JKW2" s="2"/>
      <c r="JKX2" s="2"/>
      <c r="JKY2" s="2"/>
      <c r="JKZ2" s="2"/>
      <c r="JLA2" s="2" t="s">
        <v>0</v>
      </c>
      <c r="JLB2" s="2"/>
      <c r="JLC2" s="2"/>
      <c r="JLD2" s="2"/>
      <c r="JLE2" s="2"/>
      <c r="JLF2" s="2"/>
      <c r="JLG2" s="2"/>
      <c r="JLH2" s="2"/>
      <c r="JLI2" s="2"/>
      <c r="JLJ2" s="2"/>
      <c r="JLK2" s="2"/>
      <c r="JLL2" s="2"/>
      <c r="JLM2" s="2"/>
      <c r="JLN2" s="2"/>
      <c r="JLO2" s="2"/>
      <c r="JLP2" s="2"/>
      <c r="JLQ2" s="2" t="s">
        <v>0</v>
      </c>
      <c r="JLR2" s="2"/>
      <c r="JLS2" s="2"/>
      <c r="JLT2" s="2"/>
      <c r="JLU2" s="2"/>
      <c r="JLV2" s="2"/>
      <c r="JLW2" s="2"/>
      <c r="JLX2" s="2"/>
      <c r="JLY2" s="2"/>
      <c r="JLZ2" s="2"/>
      <c r="JMA2" s="2"/>
      <c r="JMB2" s="2"/>
      <c r="JMC2" s="2"/>
      <c r="JMD2" s="2"/>
      <c r="JME2" s="2"/>
      <c r="JMF2" s="2"/>
      <c r="JMG2" s="2" t="s">
        <v>0</v>
      </c>
      <c r="JMH2" s="2"/>
      <c r="JMI2" s="2"/>
      <c r="JMJ2" s="2"/>
      <c r="JMK2" s="2"/>
      <c r="JML2" s="2"/>
      <c r="JMM2" s="2"/>
      <c r="JMN2" s="2"/>
      <c r="JMO2" s="2"/>
      <c r="JMP2" s="2"/>
      <c r="JMQ2" s="2"/>
      <c r="JMR2" s="2"/>
      <c r="JMS2" s="2"/>
      <c r="JMT2" s="2"/>
      <c r="JMU2" s="2"/>
      <c r="JMV2" s="2"/>
      <c r="JMW2" s="2" t="s">
        <v>0</v>
      </c>
      <c r="JMX2" s="2"/>
      <c r="JMY2" s="2"/>
      <c r="JMZ2" s="2"/>
      <c r="JNA2" s="2"/>
      <c r="JNB2" s="2"/>
      <c r="JNC2" s="2"/>
      <c r="JND2" s="2"/>
      <c r="JNE2" s="2"/>
      <c r="JNF2" s="2"/>
      <c r="JNG2" s="2"/>
      <c r="JNH2" s="2"/>
      <c r="JNI2" s="2"/>
      <c r="JNJ2" s="2"/>
      <c r="JNK2" s="2"/>
      <c r="JNL2" s="2"/>
      <c r="JNM2" s="2" t="s">
        <v>0</v>
      </c>
      <c r="JNN2" s="2"/>
      <c r="JNO2" s="2"/>
      <c r="JNP2" s="2"/>
      <c r="JNQ2" s="2"/>
      <c r="JNR2" s="2"/>
      <c r="JNS2" s="2"/>
      <c r="JNT2" s="2"/>
      <c r="JNU2" s="2"/>
      <c r="JNV2" s="2"/>
      <c r="JNW2" s="2"/>
      <c r="JNX2" s="2"/>
      <c r="JNY2" s="2"/>
      <c r="JNZ2" s="2"/>
      <c r="JOA2" s="2"/>
      <c r="JOB2" s="2"/>
      <c r="JOC2" s="2" t="s">
        <v>0</v>
      </c>
      <c r="JOD2" s="2"/>
      <c r="JOE2" s="2"/>
      <c r="JOF2" s="2"/>
      <c r="JOG2" s="2"/>
      <c r="JOH2" s="2"/>
      <c r="JOI2" s="2"/>
      <c r="JOJ2" s="2"/>
      <c r="JOK2" s="2"/>
      <c r="JOL2" s="2"/>
      <c r="JOM2" s="2"/>
      <c r="JON2" s="2"/>
      <c r="JOO2" s="2"/>
      <c r="JOP2" s="2"/>
      <c r="JOQ2" s="2"/>
      <c r="JOR2" s="2"/>
      <c r="JOS2" s="2" t="s">
        <v>0</v>
      </c>
      <c r="JOT2" s="2"/>
      <c r="JOU2" s="2"/>
      <c r="JOV2" s="2"/>
      <c r="JOW2" s="2"/>
      <c r="JOX2" s="2"/>
      <c r="JOY2" s="2"/>
      <c r="JOZ2" s="2"/>
      <c r="JPA2" s="2"/>
      <c r="JPB2" s="2"/>
      <c r="JPC2" s="2"/>
      <c r="JPD2" s="2"/>
      <c r="JPE2" s="2"/>
      <c r="JPF2" s="2"/>
      <c r="JPG2" s="2"/>
      <c r="JPH2" s="2"/>
      <c r="JPI2" s="2" t="s">
        <v>0</v>
      </c>
      <c r="JPJ2" s="2"/>
      <c r="JPK2" s="2"/>
      <c r="JPL2" s="2"/>
      <c r="JPM2" s="2"/>
      <c r="JPN2" s="2"/>
      <c r="JPO2" s="2"/>
      <c r="JPP2" s="2"/>
      <c r="JPQ2" s="2"/>
      <c r="JPR2" s="2"/>
      <c r="JPS2" s="2"/>
      <c r="JPT2" s="2"/>
      <c r="JPU2" s="2"/>
      <c r="JPV2" s="2"/>
      <c r="JPW2" s="2"/>
      <c r="JPX2" s="2"/>
      <c r="JPY2" s="2" t="s">
        <v>0</v>
      </c>
      <c r="JPZ2" s="2"/>
      <c r="JQA2" s="2"/>
      <c r="JQB2" s="2"/>
      <c r="JQC2" s="2"/>
      <c r="JQD2" s="2"/>
      <c r="JQE2" s="2"/>
      <c r="JQF2" s="2"/>
      <c r="JQG2" s="2"/>
      <c r="JQH2" s="2"/>
      <c r="JQI2" s="2"/>
      <c r="JQJ2" s="2"/>
      <c r="JQK2" s="2"/>
      <c r="JQL2" s="2"/>
      <c r="JQM2" s="2"/>
      <c r="JQN2" s="2"/>
      <c r="JQO2" s="2" t="s">
        <v>0</v>
      </c>
      <c r="JQP2" s="2"/>
      <c r="JQQ2" s="2"/>
      <c r="JQR2" s="2"/>
      <c r="JQS2" s="2"/>
      <c r="JQT2" s="2"/>
      <c r="JQU2" s="2"/>
      <c r="JQV2" s="2"/>
      <c r="JQW2" s="2"/>
      <c r="JQX2" s="2"/>
      <c r="JQY2" s="2"/>
      <c r="JQZ2" s="2"/>
      <c r="JRA2" s="2"/>
      <c r="JRB2" s="2"/>
      <c r="JRC2" s="2"/>
      <c r="JRD2" s="2"/>
      <c r="JRE2" s="2" t="s">
        <v>0</v>
      </c>
      <c r="JRF2" s="2"/>
      <c r="JRG2" s="2"/>
      <c r="JRH2" s="2"/>
      <c r="JRI2" s="2"/>
      <c r="JRJ2" s="2"/>
      <c r="JRK2" s="2"/>
      <c r="JRL2" s="2"/>
      <c r="JRM2" s="2"/>
      <c r="JRN2" s="2"/>
      <c r="JRO2" s="2"/>
      <c r="JRP2" s="2"/>
      <c r="JRQ2" s="2"/>
      <c r="JRR2" s="2"/>
      <c r="JRS2" s="2"/>
      <c r="JRT2" s="2"/>
      <c r="JRU2" s="2" t="s">
        <v>0</v>
      </c>
      <c r="JRV2" s="2"/>
      <c r="JRW2" s="2"/>
      <c r="JRX2" s="2"/>
      <c r="JRY2" s="2"/>
      <c r="JRZ2" s="2"/>
      <c r="JSA2" s="2"/>
      <c r="JSB2" s="2"/>
      <c r="JSC2" s="2"/>
      <c r="JSD2" s="2"/>
      <c r="JSE2" s="2"/>
      <c r="JSF2" s="2"/>
      <c r="JSG2" s="2"/>
      <c r="JSH2" s="2"/>
      <c r="JSI2" s="2"/>
      <c r="JSJ2" s="2"/>
      <c r="JSK2" s="2" t="s">
        <v>0</v>
      </c>
      <c r="JSL2" s="2"/>
      <c r="JSM2" s="2"/>
      <c r="JSN2" s="2"/>
      <c r="JSO2" s="2"/>
      <c r="JSP2" s="2"/>
      <c r="JSQ2" s="2"/>
      <c r="JSR2" s="2"/>
      <c r="JSS2" s="2"/>
      <c r="JST2" s="2"/>
      <c r="JSU2" s="2"/>
      <c r="JSV2" s="2"/>
      <c r="JSW2" s="2"/>
      <c r="JSX2" s="2"/>
      <c r="JSY2" s="2"/>
      <c r="JSZ2" s="2"/>
      <c r="JTA2" s="2" t="s">
        <v>0</v>
      </c>
      <c r="JTB2" s="2"/>
      <c r="JTC2" s="2"/>
      <c r="JTD2" s="2"/>
      <c r="JTE2" s="2"/>
      <c r="JTF2" s="2"/>
      <c r="JTG2" s="2"/>
      <c r="JTH2" s="2"/>
      <c r="JTI2" s="2"/>
      <c r="JTJ2" s="2"/>
      <c r="JTK2" s="2"/>
      <c r="JTL2" s="2"/>
      <c r="JTM2" s="2"/>
      <c r="JTN2" s="2"/>
      <c r="JTO2" s="2"/>
      <c r="JTP2" s="2"/>
      <c r="JTQ2" s="2" t="s">
        <v>0</v>
      </c>
      <c r="JTR2" s="2"/>
      <c r="JTS2" s="2"/>
      <c r="JTT2" s="2"/>
      <c r="JTU2" s="2"/>
      <c r="JTV2" s="2"/>
      <c r="JTW2" s="2"/>
      <c r="JTX2" s="2"/>
      <c r="JTY2" s="2"/>
      <c r="JTZ2" s="2"/>
      <c r="JUA2" s="2"/>
      <c r="JUB2" s="2"/>
      <c r="JUC2" s="2"/>
      <c r="JUD2" s="2"/>
      <c r="JUE2" s="2"/>
      <c r="JUF2" s="2"/>
      <c r="JUG2" s="2" t="s">
        <v>0</v>
      </c>
      <c r="JUH2" s="2"/>
      <c r="JUI2" s="2"/>
      <c r="JUJ2" s="2"/>
      <c r="JUK2" s="2"/>
      <c r="JUL2" s="2"/>
      <c r="JUM2" s="2"/>
      <c r="JUN2" s="2"/>
      <c r="JUO2" s="2"/>
      <c r="JUP2" s="2"/>
      <c r="JUQ2" s="2"/>
      <c r="JUR2" s="2"/>
      <c r="JUS2" s="2"/>
      <c r="JUT2" s="2"/>
      <c r="JUU2" s="2"/>
      <c r="JUV2" s="2"/>
      <c r="JUW2" s="2" t="s">
        <v>0</v>
      </c>
      <c r="JUX2" s="2"/>
      <c r="JUY2" s="2"/>
      <c r="JUZ2" s="2"/>
      <c r="JVA2" s="2"/>
      <c r="JVB2" s="2"/>
      <c r="JVC2" s="2"/>
      <c r="JVD2" s="2"/>
      <c r="JVE2" s="2"/>
      <c r="JVF2" s="2"/>
      <c r="JVG2" s="2"/>
      <c r="JVH2" s="2"/>
      <c r="JVI2" s="2"/>
      <c r="JVJ2" s="2"/>
      <c r="JVK2" s="2"/>
      <c r="JVL2" s="2"/>
      <c r="JVM2" s="2" t="s">
        <v>0</v>
      </c>
      <c r="JVN2" s="2"/>
      <c r="JVO2" s="2"/>
      <c r="JVP2" s="2"/>
      <c r="JVQ2" s="2"/>
      <c r="JVR2" s="2"/>
      <c r="JVS2" s="2"/>
      <c r="JVT2" s="2"/>
      <c r="JVU2" s="2"/>
      <c r="JVV2" s="2"/>
      <c r="JVW2" s="2"/>
      <c r="JVX2" s="2"/>
      <c r="JVY2" s="2"/>
      <c r="JVZ2" s="2"/>
      <c r="JWA2" s="2"/>
      <c r="JWB2" s="2"/>
      <c r="JWC2" s="2" t="s">
        <v>0</v>
      </c>
      <c r="JWD2" s="2"/>
      <c r="JWE2" s="2"/>
      <c r="JWF2" s="2"/>
      <c r="JWG2" s="2"/>
      <c r="JWH2" s="2"/>
      <c r="JWI2" s="2"/>
      <c r="JWJ2" s="2"/>
      <c r="JWK2" s="2"/>
      <c r="JWL2" s="2"/>
      <c r="JWM2" s="2"/>
      <c r="JWN2" s="2"/>
      <c r="JWO2" s="2"/>
      <c r="JWP2" s="2"/>
      <c r="JWQ2" s="2"/>
      <c r="JWR2" s="2"/>
      <c r="JWS2" s="2" t="s">
        <v>0</v>
      </c>
      <c r="JWT2" s="2"/>
      <c r="JWU2" s="2"/>
      <c r="JWV2" s="2"/>
      <c r="JWW2" s="2"/>
      <c r="JWX2" s="2"/>
      <c r="JWY2" s="2"/>
      <c r="JWZ2" s="2"/>
      <c r="JXA2" s="2"/>
      <c r="JXB2" s="2"/>
      <c r="JXC2" s="2"/>
      <c r="JXD2" s="2"/>
      <c r="JXE2" s="2"/>
      <c r="JXF2" s="2"/>
      <c r="JXG2" s="2"/>
      <c r="JXH2" s="2"/>
      <c r="JXI2" s="2" t="s">
        <v>0</v>
      </c>
      <c r="JXJ2" s="2"/>
      <c r="JXK2" s="2"/>
      <c r="JXL2" s="2"/>
      <c r="JXM2" s="2"/>
      <c r="JXN2" s="2"/>
      <c r="JXO2" s="2"/>
      <c r="JXP2" s="2"/>
      <c r="JXQ2" s="2"/>
      <c r="JXR2" s="2"/>
      <c r="JXS2" s="2"/>
      <c r="JXT2" s="2"/>
      <c r="JXU2" s="2"/>
      <c r="JXV2" s="2"/>
      <c r="JXW2" s="2"/>
      <c r="JXX2" s="2"/>
      <c r="JXY2" s="2" t="s">
        <v>0</v>
      </c>
      <c r="JXZ2" s="2"/>
      <c r="JYA2" s="2"/>
      <c r="JYB2" s="2"/>
      <c r="JYC2" s="2"/>
      <c r="JYD2" s="2"/>
      <c r="JYE2" s="2"/>
      <c r="JYF2" s="2"/>
      <c r="JYG2" s="2"/>
      <c r="JYH2" s="2"/>
      <c r="JYI2" s="2"/>
      <c r="JYJ2" s="2"/>
      <c r="JYK2" s="2"/>
      <c r="JYL2" s="2"/>
      <c r="JYM2" s="2"/>
      <c r="JYN2" s="2"/>
      <c r="JYO2" s="2" t="s">
        <v>0</v>
      </c>
      <c r="JYP2" s="2"/>
      <c r="JYQ2" s="2"/>
      <c r="JYR2" s="2"/>
      <c r="JYS2" s="2"/>
      <c r="JYT2" s="2"/>
      <c r="JYU2" s="2"/>
      <c r="JYV2" s="2"/>
      <c r="JYW2" s="2"/>
      <c r="JYX2" s="2"/>
      <c r="JYY2" s="2"/>
      <c r="JYZ2" s="2"/>
      <c r="JZA2" s="2"/>
      <c r="JZB2" s="2"/>
      <c r="JZC2" s="2"/>
      <c r="JZD2" s="2"/>
      <c r="JZE2" s="2" t="s">
        <v>0</v>
      </c>
      <c r="JZF2" s="2"/>
      <c r="JZG2" s="2"/>
      <c r="JZH2" s="2"/>
      <c r="JZI2" s="2"/>
      <c r="JZJ2" s="2"/>
      <c r="JZK2" s="2"/>
      <c r="JZL2" s="2"/>
      <c r="JZM2" s="2"/>
      <c r="JZN2" s="2"/>
      <c r="JZO2" s="2"/>
      <c r="JZP2" s="2"/>
      <c r="JZQ2" s="2"/>
      <c r="JZR2" s="2"/>
      <c r="JZS2" s="2"/>
      <c r="JZT2" s="2"/>
      <c r="JZU2" s="2" t="s">
        <v>0</v>
      </c>
      <c r="JZV2" s="2"/>
      <c r="JZW2" s="2"/>
      <c r="JZX2" s="2"/>
      <c r="JZY2" s="2"/>
      <c r="JZZ2" s="2"/>
      <c r="KAA2" s="2"/>
      <c r="KAB2" s="2"/>
      <c r="KAC2" s="2"/>
      <c r="KAD2" s="2"/>
      <c r="KAE2" s="2"/>
      <c r="KAF2" s="2"/>
      <c r="KAG2" s="2"/>
      <c r="KAH2" s="2"/>
      <c r="KAI2" s="2"/>
      <c r="KAJ2" s="2"/>
      <c r="KAK2" s="2" t="s">
        <v>0</v>
      </c>
      <c r="KAL2" s="2"/>
      <c r="KAM2" s="2"/>
      <c r="KAN2" s="2"/>
      <c r="KAO2" s="2"/>
      <c r="KAP2" s="2"/>
      <c r="KAQ2" s="2"/>
      <c r="KAR2" s="2"/>
      <c r="KAS2" s="2"/>
      <c r="KAT2" s="2"/>
      <c r="KAU2" s="2"/>
      <c r="KAV2" s="2"/>
      <c r="KAW2" s="2"/>
      <c r="KAX2" s="2"/>
      <c r="KAY2" s="2"/>
      <c r="KAZ2" s="2"/>
      <c r="KBA2" s="2" t="s">
        <v>0</v>
      </c>
      <c r="KBB2" s="2"/>
      <c r="KBC2" s="2"/>
      <c r="KBD2" s="2"/>
      <c r="KBE2" s="2"/>
      <c r="KBF2" s="2"/>
      <c r="KBG2" s="2"/>
      <c r="KBH2" s="2"/>
      <c r="KBI2" s="2"/>
      <c r="KBJ2" s="2"/>
      <c r="KBK2" s="2"/>
      <c r="KBL2" s="2"/>
      <c r="KBM2" s="2"/>
      <c r="KBN2" s="2"/>
      <c r="KBO2" s="2"/>
      <c r="KBP2" s="2"/>
      <c r="KBQ2" s="2" t="s">
        <v>0</v>
      </c>
      <c r="KBR2" s="2"/>
      <c r="KBS2" s="2"/>
      <c r="KBT2" s="2"/>
      <c r="KBU2" s="2"/>
      <c r="KBV2" s="2"/>
      <c r="KBW2" s="2"/>
      <c r="KBX2" s="2"/>
      <c r="KBY2" s="2"/>
      <c r="KBZ2" s="2"/>
      <c r="KCA2" s="2"/>
      <c r="KCB2" s="2"/>
      <c r="KCC2" s="2"/>
      <c r="KCD2" s="2"/>
      <c r="KCE2" s="2"/>
      <c r="KCF2" s="2"/>
      <c r="KCG2" s="2" t="s">
        <v>0</v>
      </c>
      <c r="KCH2" s="2"/>
      <c r="KCI2" s="2"/>
      <c r="KCJ2" s="2"/>
      <c r="KCK2" s="2"/>
      <c r="KCL2" s="2"/>
      <c r="KCM2" s="2"/>
      <c r="KCN2" s="2"/>
      <c r="KCO2" s="2"/>
      <c r="KCP2" s="2"/>
      <c r="KCQ2" s="2"/>
      <c r="KCR2" s="2"/>
      <c r="KCS2" s="2"/>
      <c r="KCT2" s="2"/>
      <c r="KCU2" s="2"/>
      <c r="KCV2" s="2"/>
      <c r="KCW2" s="2" t="s">
        <v>0</v>
      </c>
      <c r="KCX2" s="2"/>
      <c r="KCY2" s="2"/>
      <c r="KCZ2" s="2"/>
      <c r="KDA2" s="2"/>
      <c r="KDB2" s="2"/>
      <c r="KDC2" s="2"/>
      <c r="KDD2" s="2"/>
      <c r="KDE2" s="2"/>
      <c r="KDF2" s="2"/>
      <c r="KDG2" s="2"/>
      <c r="KDH2" s="2"/>
      <c r="KDI2" s="2"/>
      <c r="KDJ2" s="2"/>
      <c r="KDK2" s="2"/>
      <c r="KDL2" s="2"/>
      <c r="KDM2" s="2" t="s">
        <v>0</v>
      </c>
      <c r="KDN2" s="2"/>
      <c r="KDO2" s="2"/>
      <c r="KDP2" s="2"/>
      <c r="KDQ2" s="2"/>
      <c r="KDR2" s="2"/>
      <c r="KDS2" s="2"/>
      <c r="KDT2" s="2"/>
      <c r="KDU2" s="2"/>
      <c r="KDV2" s="2"/>
      <c r="KDW2" s="2"/>
      <c r="KDX2" s="2"/>
      <c r="KDY2" s="2"/>
      <c r="KDZ2" s="2"/>
      <c r="KEA2" s="2"/>
      <c r="KEB2" s="2"/>
      <c r="KEC2" s="2" t="s">
        <v>0</v>
      </c>
      <c r="KED2" s="2"/>
      <c r="KEE2" s="2"/>
      <c r="KEF2" s="2"/>
      <c r="KEG2" s="2"/>
      <c r="KEH2" s="2"/>
      <c r="KEI2" s="2"/>
      <c r="KEJ2" s="2"/>
      <c r="KEK2" s="2"/>
      <c r="KEL2" s="2"/>
      <c r="KEM2" s="2"/>
      <c r="KEN2" s="2"/>
      <c r="KEO2" s="2"/>
      <c r="KEP2" s="2"/>
      <c r="KEQ2" s="2"/>
      <c r="KER2" s="2"/>
      <c r="KES2" s="2" t="s">
        <v>0</v>
      </c>
      <c r="KET2" s="2"/>
      <c r="KEU2" s="2"/>
      <c r="KEV2" s="2"/>
      <c r="KEW2" s="2"/>
      <c r="KEX2" s="2"/>
      <c r="KEY2" s="2"/>
      <c r="KEZ2" s="2"/>
      <c r="KFA2" s="2"/>
      <c r="KFB2" s="2"/>
      <c r="KFC2" s="2"/>
      <c r="KFD2" s="2"/>
      <c r="KFE2" s="2"/>
      <c r="KFF2" s="2"/>
      <c r="KFG2" s="2"/>
      <c r="KFH2" s="2"/>
      <c r="KFI2" s="2" t="s">
        <v>0</v>
      </c>
      <c r="KFJ2" s="2"/>
      <c r="KFK2" s="2"/>
      <c r="KFL2" s="2"/>
      <c r="KFM2" s="2"/>
      <c r="KFN2" s="2"/>
      <c r="KFO2" s="2"/>
      <c r="KFP2" s="2"/>
      <c r="KFQ2" s="2"/>
      <c r="KFR2" s="2"/>
      <c r="KFS2" s="2"/>
      <c r="KFT2" s="2"/>
      <c r="KFU2" s="2"/>
      <c r="KFV2" s="2"/>
      <c r="KFW2" s="2"/>
      <c r="KFX2" s="2"/>
      <c r="KFY2" s="2" t="s">
        <v>0</v>
      </c>
      <c r="KFZ2" s="2"/>
      <c r="KGA2" s="2"/>
      <c r="KGB2" s="2"/>
      <c r="KGC2" s="2"/>
      <c r="KGD2" s="2"/>
      <c r="KGE2" s="2"/>
      <c r="KGF2" s="2"/>
      <c r="KGG2" s="2"/>
      <c r="KGH2" s="2"/>
      <c r="KGI2" s="2"/>
      <c r="KGJ2" s="2"/>
      <c r="KGK2" s="2"/>
      <c r="KGL2" s="2"/>
      <c r="KGM2" s="2"/>
      <c r="KGN2" s="2"/>
      <c r="KGO2" s="2" t="s">
        <v>0</v>
      </c>
      <c r="KGP2" s="2"/>
      <c r="KGQ2" s="2"/>
      <c r="KGR2" s="2"/>
      <c r="KGS2" s="2"/>
      <c r="KGT2" s="2"/>
      <c r="KGU2" s="2"/>
      <c r="KGV2" s="2"/>
      <c r="KGW2" s="2"/>
      <c r="KGX2" s="2"/>
      <c r="KGY2" s="2"/>
      <c r="KGZ2" s="2"/>
      <c r="KHA2" s="2"/>
      <c r="KHB2" s="2"/>
      <c r="KHC2" s="2"/>
      <c r="KHD2" s="2"/>
      <c r="KHE2" s="2" t="s">
        <v>0</v>
      </c>
      <c r="KHF2" s="2"/>
      <c r="KHG2" s="2"/>
      <c r="KHH2" s="2"/>
      <c r="KHI2" s="2"/>
      <c r="KHJ2" s="2"/>
      <c r="KHK2" s="2"/>
      <c r="KHL2" s="2"/>
      <c r="KHM2" s="2"/>
      <c r="KHN2" s="2"/>
      <c r="KHO2" s="2"/>
      <c r="KHP2" s="2"/>
      <c r="KHQ2" s="2"/>
      <c r="KHR2" s="2"/>
      <c r="KHS2" s="2"/>
      <c r="KHT2" s="2"/>
      <c r="KHU2" s="2" t="s">
        <v>0</v>
      </c>
      <c r="KHV2" s="2"/>
      <c r="KHW2" s="2"/>
      <c r="KHX2" s="2"/>
      <c r="KHY2" s="2"/>
      <c r="KHZ2" s="2"/>
      <c r="KIA2" s="2"/>
      <c r="KIB2" s="2"/>
      <c r="KIC2" s="2"/>
      <c r="KID2" s="2"/>
      <c r="KIE2" s="2"/>
      <c r="KIF2" s="2"/>
      <c r="KIG2" s="2"/>
      <c r="KIH2" s="2"/>
      <c r="KII2" s="2"/>
      <c r="KIJ2" s="2"/>
      <c r="KIK2" s="2" t="s">
        <v>0</v>
      </c>
      <c r="KIL2" s="2"/>
      <c r="KIM2" s="2"/>
      <c r="KIN2" s="2"/>
      <c r="KIO2" s="2"/>
      <c r="KIP2" s="2"/>
      <c r="KIQ2" s="2"/>
      <c r="KIR2" s="2"/>
      <c r="KIS2" s="2"/>
      <c r="KIT2" s="2"/>
      <c r="KIU2" s="2"/>
      <c r="KIV2" s="2"/>
      <c r="KIW2" s="2"/>
      <c r="KIX2" s="2"/>
      <c r="KIY2" s="2"/>
      <c r="KIZ2" s="2"/>
      <c r="KJA2" s="2" t="s">
        <v>0</v>
      </c>
      <c r="KJB2" s="2"/>
      <c r="KJC2" s="2"/>
      <c r="KJD2" s="2"/>
      <c r="KJE2" s="2"/>
      <c r="KJF2" s="2"/>
      <c r="KJG2" s="2"/>
      <c r="KJH2" s="2"/>
      <c r="KJI2" s="2"/>
      <c r="KJJ2" s="2"/>
      <c r="KJK2" s="2"/>
      <c r="KJL2" s="2"/>
      <c r="KJM2" s="2"/>
      <c r="KJN2" s="2"/>
      <c r="KJO2" s="2"/>
      <c r="KJP2" s="2"/>
      <c r="KJQ2" s="2" t="s">
        <v>0</v>
      </c>
      <c r="KJR2" s="2"/>
      <c r="KJS2" s="2"/>
      <c r="KJT2" s="2"/>
      <c r="KJU2" s="2"/>
      <c r="KJV2" s="2"/>
      <c r="KJW2" s="2"/>
      <c r="KJX2" s="2"/>
      <c r="KJY2" s="2"/>
      <c r="KJZ2" s="2"/>
      <c r="KKA2" s="2"/>
      <c r="KKB2" s="2"/>
      <c r="KKC2" s="2"/>
      <c r="KKD2" s="2"/>
      <c r="KKE2" s="2"/>
      <c r="KKF2" s="2"/>
      <c r="KKG2" s="2" t="s">
        <v>0</v>
      </c>
      <c r="KKH2" s="2"/>
      <c r="KKI2" s="2"/>
      <c r="KKJ2" s="2"/>
      <c r="KKK2" s="2"/>
      <c r="KKL2" s="2"/>
      <c r="KKM2" s="2"/>
      <c r="KKN2" s="2"/>
      <c r="KKO2" s="2"/>
      <c r="KKP2" s="2"/>
      <c r="KKQ2" s="2"/>
      <c r="KKR2" s="2"/>
      <c r="KKS2" s="2"/>
      <c r="KKT2" s="2"/>
      <c r="KKU2" s="2"/>
      <c r="KKV2" s="2"/>
      <c r="KKW2" s="2" t="s">
        <v>0</v>
      </c>
      <c r="KKX2" s="2"/>
      <c r="KKY2" s="2"/>
      <c r="KKZ2" s="2"/>
      <c r="KLA2" s="2"/>
      <c r="KLB2" s="2"/>
      <c r="KLC2" s="2"/>
      <c r="KLD2" s="2"/>
      <c r="KLE2" s="2"/>
      <c r="KLF2" s="2"/>
      <c r="KLG2" s="2"/>
      <c r="KLH2" s="2"/>
      <c r="KLI2" s="2"/>
      <c r="KLJ2" s="2"/>
      <c r="KLK2" s="2"/>
      <c r="KLL2" s="2"/>
      <c r="KLM2" s="2" t="s">
        <v>0</v>
      </c>
      <c r="KLN2" s="2"/>
      <c r="KLO2" s="2"/>
      <c r="KLP2" s="2"/>
      <c r="KLQ2" s="2"/>
      <c r="KLR2" s="2"/>
      <c r="KLS2" s="2"/>
      <c r="KLT2" s="2"/>
      <c r="KLU2" s="2"/>
      <c r="KLV2" s="2"/>
      <c r="KLW2" s="2"/>
      <c r="KLX2" s="2"/>
      <c r="KLY2" s="2"/>
      <c r="KLZ2" s="2"/>
      <c r="KMA2" s="2"/>
      <c r="KMB2" s="2"/>
      <c r="KMC2" s="2" t="s">
        <v>0</v>
      </c>
      <c r="KMD2" s="2"/>
      <c r="KME2" s="2"/>
      <c r="KMF2" s="2"/>
      <c r="KMG2" s="2"/>
      <c r="KMH2" s="2"/>
      <c r="KMI2" s="2"/>
      <c r="KMJ2" s="2"/>
      <c r="KMK2" s="2"/>
      <c r="KML2" s="2"/>
      <c r="KMM2" s="2"/>
      <c r="KMN2" s="2"/>
      <c r="KMO2" s="2"/>
      <c r="KMP2" s="2"/>
      <c r="KMQ2" s="2"/>
      <c r="KMR2" s="2"/>
      <c r="KMS2" s="2" t="s">
        <v>0</v>
      </c>
      <c r="KMT2" s="2"/>
      <c r="KMU2" s="2"/>
      <c r="KMV2" s="2"/>
      <c r="KMW2" s="2"/>
      <c r="KMX2" s="2"/>
      <c r="KMY2" s="2"/>
      <c r="KMZ2" s="2"/>
      <c r="KNA2" s="2"/>
      <c r="KNB2" s="2"/>
      <c r="KNC2" s="2"/>
      <c r="KND2" s="2"/>
      <c r="KNE2" s="2"/>
      <c r="KNF2" s="2"/>
      <c r="KNG2" s="2"/>
      <c r="KNH2" s="2"/>
      <c r="KNI2" s="2" t="s">
        <v>0</v>
      </c>
      <c r="KNJ2" s="2"/>
      <c r="KNK2" s="2"/>
      <c r="KNL2" s="2"/>
      <c r="KNM2" s="2"/>
      <c r="KNN2" s="2"/>
      <c r="KNO2" s="2"/>
      <c r="KNP2" s="2"/>
      <c r="KNQ2" s="2"/>
      <c r="KNR2" s="2"/>
      <c r="KNS2" s="2"/>
      <c r="KNT2" s="2"/>
      <c r="KNU2" s="2"/>
      <c r="KNV2" s="2"/>
      <c r="KNW2" s="2"/>
      <c r="KNX2" s="2"/>
      <c r="KNY2" s="2" t="s">
        <v>0</v>
      </c>
      <c r="KNZ2" s="2"/>
      <c r="KOA2" s="2"/>
      <c r="KOB2" s="2"/>
      <c r="KOC2" s="2"/>
      <c r="KOD2" s="2"/>
      <c r="KOE2" s="2"/>
      <c r="KOF2" s="2"/>
      <c r="KOG2" s="2"/>
      <c r="KOH2" s="2"/>
      <c r="KOI2" s="2"/>
      <c r="KOJ2" s="2"/>
      <c r="KOK2" s="2"/>
      <c r="KOL2" s="2"/>
      <c r="KOM2" s="2"/>
      <c r="KON2" s="2"/>
      <c r="KOO2" s="2" t="s">
        <v>0</v>
      </c>
      <c r="KOP2" s="2"/>
      <c r="KOQ2" s="2"/>
      <c r="KOR2" s="2"/>
      <c r="KOS2" s="2"/>
      <c r="KOT2" s="2"/>
      <c r="KOU2" s="2"/>
      <c r="KOV2" s="2"/>
      <c r="KOW2" s="2"/>
      <c r="KOX2" s="2"/>
      <c r="KOY2" s="2"/>
      <c r="KOZ2" s="2"/>
      <c r="KPA2" s="2"/>
      <c r="KPB2" s="2"/>
      <c r="KPC2" s="2"/>
      <c r="KPD2" s="2"/>
      <c r="KPE2" s="2" t="s">
        <v>0</v>
      </c>
      <c r="KPF2" s="2"/>
      <c r="KPG2" s="2"/>
      <c r="KPH2" s="2"/>
      <c r="KPI2" s="2"/>
      <c r="KPJ2" s="2"/>
      <c r="KPK2" s="2"/>
      <c r="KPL2" s="2"/>
      <c r="KPM2" s="2"/>
      <c r="KPN2" s="2"/>
      <c r="KPO2" s="2"/>
      <c r="KPP2" s="2"/>
      <c r="KPQ2" s="2"/>
      <c r="KPR2" s="2"/>
      <c r="KPS2" s="2"/>
      <c r="KPT2" s="2"/>
      <c r="KPU2" s="2" t="s">
        <v>0</v>
      </c>
      <c r="KPV2" s="2"/>
      <c r="KPW2" s="2"/>
      <c r="KPX2" s="2"/>
      <c r="KPY2" s="2"/>
      <c r="KPZ2" s="2"/>
      <c r="KQA2" s="2"/>
      <c r="KQB2" s="2"/>
      <c r="KQC2" s="2"/>
      <c r="KQD2" s="2"/>
      <c r="KQE2" s="2"/>
      <c r="KQF2" s="2"/>
      <c r="KQG2" s="2"/>
      <c r="KQH2" s="2"/>
      <c r="KQI2" s="2"/>
      <c r="KQJ2" s="2"/>
      <c r="KQK2" s="2" t="s">
        <v>0</v>
      </c>
      <c r="KQL2" s="2"/>
      <c r="KQM2" s="2"/>
      <c r="KQN2" s="2"/>
      <c r="KQO2" s="2"/>
      <c r="KQP2" s="2"/>
      <c r="KQQ2" s="2"/>
      <c r="KQR2" s="2"/>
      <c r="KQS2" s="2"/>
      <c r="KQT2" s="2"/>
      <c r="KQU2" s="2"/>
      <c r="KQV2" s="2"/>
      <c r="KQW2" s="2"/>
      <c r="KQX2" s="2"/>
      <c r="KQY2" s="2"/>
      <c r="KQZ2" s="2"/>
      <c r="KRA2" s="2" t="s">
        <v>0</v>
      </c>
      <c r="KRB2" s="2"/>
      <c r="KRC2" s="2"/>
      <c r="KRD2" s="2"/>
      <c r="KRE2" s="2"/>
      <c r="KRF2" s="2"/>
      <c r="KRG2" s="2"/>
      <c r="KRH2" s="2"/>
      <c r="KRI2" s="2"/>
      <c r="KRJ2" s="2"/>
      <c r="KRK2" s="2"/>
      <c r="KRL2" s="2"/>
      <c r="KRM2" s="2"/>
      <c r="KRN2" s="2"/>
      <c r="KRO2" s="2"/>
      <c r="KRP2" s="2"/>
      <c r="KRQ2" s="2" t="s">
        <v>0</v>
      </c>
      <c r="KRR2" s="2"/>
      <c r="KRS2" s="2"/>
      <c r="KRT2" s="2"/>
      <c r="KRU2" s="2"/>
      <c r="KRV2" s="2"/>
      <c r="KRW2" s="2"/>
      <c r="KRX2" s="2"/>
      <c r="KRY2" s="2"/>
      <c r="KRZ2" s="2"/>
      <c r="KSA2" s="2"/>
      <c r="KSB2" s="2"/>
      <c r="KSC2" s="2"/>
      <c r="KSD2" s="2"/>
      <c r="KSE2" s="2"/>
      <c r="KSF2" s="2"/>
      <c r="KSG2" s="2" t="s">
        <v>0</v>
      </c>
      <c r="KSH2" s="2"/>
      <c r="KSI2" s="2"/>
      <c r="KSJ2" s="2"/>
      <c r="KSK2" s="2"/>
      <c r="KSL2" s="2"/>
      <c r="KSM2" s="2"/>
      <c r="KSN2" s="2"/>
      <c r="KSO2" s="2"/>
      <c r="KSP2" s="2"/>
      <c r="KSQ2" s="2"/>
      <c r="KSR2" s="2"/>
      <c r="KSS2" s="2"/>
      <c r="KST2" s="2"/>
      <c r="KSU2" s="2"/>
      <c r="KSV2" s="2"/>
      <c r="KSW2" s="2" t="s">
        <v>0</v>
      </c>
      <c r="KSX2" s="2"/>
      <c r="KSY2" s="2"/>
      <c r="KSZ2" s="2"/>
      <c r="KTA2" s="2"/>
      <c r="KTB2" s="2"/>
      <c r="KTC2" s="2"/>
      <c r="KTD2" s="2"/>
      <c r="KTE2" s="2"/>
      <c r="KTF2" s="2"/>
      <c r="KTG2" s="2"/>
      <c r="KTH2" s="2"/>
      <c r="KTI2" s="2"/>
      <c r="KTJ2" s="2"/>
      <c r="KTK2" s="2"/>
      <c r="KTL2" s="2"/>
      <c r="KTM2" s="2" t="s">
        <v>0</v>
      </c>
      <c r="KTN2" s="2"/>
      <c r="KTO2" s="2"/>
      <c r="KTP2" s="2"/>
      <c r="KTQ2" s="2"/>
      <c r="KTR2" s="2"/>
      <c r="KTS2" s="2"/>
      <c r="KTT2" s="2"/>
      <c r="KTU2" s="2"/>
      <c r="KTV2" s="2"/>
      <c r="KTW2" s="2"/>
      <c r="KTX2" s="2"/>
      <c r="KTY2" s="2"/>
      <c r="KTZ2" s="2"/>
      <c r="KUA2" s="2"/>
      <c r="KUB2" s="2"/>
      <c r="KUC2" s="2" t="s">
        <v>0</v>
      </c>
      <c r="KUD2" s="2"/>
      <c r="KUE2" s="2"/>
      <c r="KUF2" s="2"/>
      <c r="KUG2" s="2"/>
      <c r="KUH2" s="2"/>
      <c r="KUI2" s="2"/>
      <c r="KUJ2" s="2"/>
      <c r="KUK2" s="2"/>
      <c r="KUL2" s="2"/>
      <c r="KUM2" s="2"/>
      <c r="KUN2" s="2"/>
      <c r="KUO2" s="2"/>
      <c r="KUP2" s="2"/>
      <c r="KUQ2" s="2"/>
      <c r="KUR2" s="2"/>
      <c r="KUS2" s="2" t="s">
        <v>0</v>
      </c>
      <c r="KUT2" s="2"/>
      <c r="KUU2" s="2"/>
      <c r="KUV2" s="2"/>
      <c r="KUW2" s="2"/>
      <c r="KUX2" s="2"/>
      <c r="KUY2" s="2"/>
      <c r="KUZ2" s="2"/>
      <c r="KVA2" s="2"/>
      <c r="KVB2" s="2"/>
      <c r="KVC2" s="2"/>
      <c r="KVD2" s="2"/>
      <c r="KVE2" s="2"/>
      <c r="KVF2" s="2"/>
      <c r="KVG2" s="2"/>
      <c r="KVH2" s="2"/>
      <c r="KVI2" s="2" t="s">
        <v>0</v>
      </c>
      <c r="KVJ2" s="2"/>
      <c r="KVK2" s="2"/>
      <c r="KVL2" s="2"/>
      <c r="KVM2" s="2"/>
      <c r="KVN2" s="2"/>
      <c r="KVO2" s="2"/>
      <c r="KVP2" s="2"/>
      <c r="KVQ2" s="2"/>
      <c r="KVR2" s="2"/>
      <c r="KVS2" s="2"/>
      <c r="KVT2" s="2"/>
      <c r="KVU2" s="2"/>
      <c r="KVV2" s="2"/>
      <c r="KVW2" s="2"/>
      <c r="KVX2" s="2"/>
      <c r="KVY2" s="2" t="s">
        <v>0</v>
      </c>
      <c r="KVZ2" s="2"/>
      <c r="KWA2" s="2"/>
      <c r="KWB2" s="2"/>
      <c r="KWC2" s="2"/>
      <c r="KWD2" s="2"/>
      <c r="KWE2" s="2"/>
      <c r="KWF2" s="2"/>
      <c r="KWG2" s="2"/>
      <c r="KWH2" s="2"/>
      <c r="KWI2" s="2"/>
      <c r="KWJ2" s="2"/>
      <c r="KWK2" s="2"/>
      <c r="KWL2" s="2"/>
      <c r="KWM2" s="2"/>
      <c r="KWN2" s="2"/>
      <c r="KWO2" s="2" t="s">
        <v>0</v>
      </c>
      <c r="KWP2" s="2"/>
      <c r="KWQ2" s="2"/>
      <c r="KWR2" s="2"/>
      <c r="KWS2" s="2"/>
      <c r="KWT2" s="2"/>
      <c r="KWU2" s="2"/>
      <c r="KWV2" s="2"/>
      <c r="KWW2" s="2"/>
      <c r="KWX2" s="2"/>
      <c r="KWY2" s="2"/>
      <c r="KWZ2" s="2"/>
      <c r="KXA2" s="2"/>
      <c r="KXB2" s="2"/>
      <c r="KXC2" s="2"/>
      <c r="KXD2" s="2"/>
      <c r="KXE2" s="2" t="s">
        <v>0</v>
      </c>
      <c r="KXF2" s="2"/>
      <c r="KXG2" s="2"/>
      <c r="KXH2" s="2"/>
      <c r="KXI2" s="2"/>
      <c r="KXJ2" s="2"/>
      <c r="KXK2" s="2"/>
      <c r="KXL2" s="2"/>
      <c r="KXM2" s="2"/>
      <c r="KXN2" s="2"/>
      <c r="KXO2" s="2"/>
      <c r="KXP2" s="2"/>
      <c r="KXQ2" s="2"/>
      <c r="KXR2" s="2"/>
      <c r="KXS2" s="2"/>
      <c r="KXT2" s="2"/>
      <c r="KXU2" s="2" t="s">
        <v>0</v>
      </c>
      <c r="KXV2" s="2"/>
      <c r="KXW2" s="2"/>
      <c r="KXX2" s="2"/>
      <c r="KXY2" s="2"/>
      <c r="KXZ2" s="2"/>
      <c r="KYA2" s="2"/>
      <c r="KYB2" s="2"/>
      <c r="KYC2" s="2"/>
      <c r="KYD2" s="2"/>
      <c r="KYE2" s="2"/>
      <c r="KYF2" s="2"/>
      <c r="KYG2" s="2"/>
      <c r="KYH2" s="2"/>
      <c r="KYI2" s="2"/>
      <c r="KYJ2" s="2"/>
      <c r="KYK2" s="2" t="s">
        <v>0</v>
      </c>
      <c r="KYL2" s="2"/>
      <c r="KYM2" s="2"/>
      <c r="KYN2" s="2"/>
      <c r="KYO2" s="2"/>
      <c r="KYP2" s="2"/>
      <c r="KYQ2" s="2"/>
      <c r="KYR2" s="2"/>
      <c r="KYS2" s="2"/>
      <c r="KYT2" s="2"/>
      <c r="KYU2" s="2"/>
      <c r="KYV2" s="2"/>
      <c r="KYW2" s="2"/>
      <c r="KYX2" s="2"/>
      <c r="KYY2" s="2"/>
      <c r="KYZ2" s="2"/>
      <c r="KZA2" s="2" t="s">
        <v>0</v>
      </c>
      <c r="KZB2" s="2"/>
      <c r="KZC2" s="2"/>
      <c r="KZD2" s="2"/>
      <c r="KZE2" s="2"/>
      <c r="KZF2" s="2"/>
      <c r="KZG2" s="2"/>
      <c r="KZH2" s="2"/>
      <c r="KZI2" s="2"/>
      <c r="KZJ2" s="2"/>
      <c r="KZK2" s="2"/>
      <c r="KZL2" s="2"/>
      <c r="KZM2" s="2"/>
      <c r="KZN2" s="2"/>
      <c r="KZO2" s="2"/>
      <c r="KZP2" s="2"/>
      <c r="KZQ2" s="2" t="s">
        <v>0</v>
      </c>
      <c r="KZR2" s="2"/>
      <c r="KZS2" s="2"/>
      <c r="KZT2" s="2"/>
      <c r="KZU2" s="2"/>
      <c r="KZV2" s="2"/>
      <c r="KZW2" s="2"/>
      <c r="KZX2" s="2"/>
      <c r="KZY2" s="2"/>
      <c r="KZZ2" s="2"/>
      <c r="LAA2" s="2"/>
      <c r="LAB2" s="2"/>
      <c r="LAC2" s="2"/>
      <c r="LAD2" s="2"/>
      <c r="LAE2" s="2"/>
      <c r="LAF2" s="2"/>
      <c r="LAG2" s="2" t="s">
        <v>0</v>
      </c>
      <c r="LAH2" s="2"/>
      <c r="LAI2" s="2"/>
      <c r="LAJ2" s="2"/>
      <c r="LAK2" s="2"/>
      <c r="LAL2" s="2"/>
      <c r="LAM2" s="2"/>
      <c r="LAN2" s="2"/>
      <c r="LAO2" s="2"/>
      <c r="LAP2" s="2"/>
      <c r="LAQ2" s="2"/>
      <c r="LAR2" s="2"/>
      <c r="LAS2" s="2"/>
      <c r="LAT2" s="2"/>
      <c r="LAU2" s="2"/>
      <c r="LAV2" s="2"/>
      <c r="LAW2" s="2" t="s">
        <v>0</v>
      </c>
      <c r="LAX2" s="2"/>
      <c r="LAY2" s="2"/>
      <c r="LAZ2" s="2"/>
      <c r="LBA2" s="2"/>
      <c r="LBB2" s="2"/>
      <c r="LBC2" s="2"/>
      <c r="LBD2" s="2"/>
      <c r="LBE2" s="2"/>
      <c r="LBF2" s="2"/>
      <c r="LBG2" s="2"/>
      <c r="LBH2" s="2"/>
      <c r="LBI2" s="2"/>
      <c r="LBJ2" s="2"/>
      <c r="LBK2" s="2"/>
      <c r="LBL2" s="2"/>
      <c r="LBM2" s="2" t="s">
        <v>0</v>
      </c>
      <c r="LBN2" s="2"/>
      <c r="LBO2" s="2"/>
      <c r="LBP2" s="2"/>
      <c r="LBQ2" s="2"/>
      <c r="LBR2" s="2"/>
      <c r="LBS2" s="2"/>
      <c r="LBT2" s="2"/>
      <c r="LBU2" s="2"/>
      <c r="LBV2" s="2"/>
      <c r="LBW2" s="2"/>
      <c r="LBX2" s="2"/>
      <c r="LBY2" s="2"/>
      <c r="LBZ2" s="2"/>
      <c r="LCA2" s="2"/>
      <c r="LCB2" s="2"/>
      <c r="LCC2" s="2" t="s">
        <v>0</v>
      </c>
      <c r="LCD2" s="2"/>
      <c r="LCE2" s="2"/>
      <c r="LCF2" s="2"/>
      <c r="LCG2" s="2"/>
      <c r="LCH2" s="2"/>
      <c r="LCI2" s="2"/>
      <c r="LCJ2" s="2"/>
      <c r="LCK2" s="2"/>
      <c r="LCL2" s="2"/>
      <c r="LCM2" s="2"/>
      <c r="LCN2" s="2"/>
      <c r="LCO2" s="2"/>
      <c r="LCP2" s="2"/>
      <c r="LCQ2" s="2"/>
      <c r="LCR2" s="2"/>
      <c r="LCS2" s="2" t="s">
        <v>0</v>
      </c>
      <c r="LCT2" s="2"/>
      <c r="LCU2" s="2"/>
      <c r="LCV2" s="2"/>
      <c r="LCW2" s="2"/>
      <c r="LCX2" s="2"/>
      <c r="LCY2" s="2"/>
      <c r="LCZ2" s="2"/>
      <c r="LDA2" s="2"/>
      <c r="LDB2" s="2"/>
      <c r="LDC2" s="2"/>
      <c r="LDD2" s="2"/>
      <c r="LDE2" s="2"/>
      <c r="LDF2" s="2"/>
      <c r="LDG2" s="2"/>
      <c r="LDH2" s="2"/>
      <c r="LDI2" s="2" t="s">
        <v>0</v>
      </c>
      <c r="LDJ2" s="2"/>
      <c r="LDK2" s="2"/>
      <c r="LDL2" s="2"/>
      <c r="LDM2" s="2"/>
      <c r="LDN2" s="2"/>
      <c r="LDO2" s="2"/>
      <c r="LDP2" s="2"/>
      <c r="LDQ2" s="2"/>
      <c r="LDR2" s="2"/>
      <c r="LDS2" s="2"/>
      <c r="LDT2" s="2"/>
      <c r="LDU2" s="2"/>
      <c r="LDV2" s="2"/>
      <c r="LDW2" s="2"/>
      <c r="LDX2" s="2"/>
      <c r="LDY2" s="2" t="s">
        <v>0</v>
      </c>
      <c r="LDZ2" s="2"/>
      <c r="LEA2" s="2"/>
      <c r="LEB2" s="2"/>
      <c r="LEC2" s="2"/>
      <c r="LED2" s="2"/>
      <c r="LEE2" s="2"/>
      <c r="LEF2" s="2"/>
      <c r="LEG2" s="2"/>
      <c r="LEH2" s="2"/>
      <c r="LEI2" s="2"/>
      <c r="LEJ2" s="2"/>
      <c r="LEK2" s="2"/>
      <c r="LEL2" s="2"/>
      <c r="LEM2" s="2"/>
      <c r="LEN2" s="2"/>
      <c r="LEO2" s="2" t="s">
        <v>0</v>
      </c>
      <c r="LEP2" s="2"/>
      <c r="LEQ2" s="2"/>
      <c r="LER2" s="2"/>
      <c r="LES2" s="2"/>
      <c r="LET2" s="2"/>
      <c r="LEU2" s="2"/>
      <c r="LEV2" s="2"/>
      <c r="LEW2" s="2"/>
      <c r="LEX2" s="2"/>
      <c r="LEY2" s="2"/>
      <c r="LEZ2" s="2"/>
      <c r="LFA2" s="2"/>
      <c r="LFB2" s="2"/>
      <c r="LFC2" s="2"/>
      <c r="LFD2" s="2"/>
      <c r="LFE2" s="2" t="s">
        <v>0</v>
      </c>
      <c r="LFF2" s="2"/>
      <c r="LFG2" s="2"/>
      <c r="LFH2" s="2"/>
      <c r="LFI2" s="2"/>
      <c r="LFJ2" s="2"/>
      <c r="LFK2" s="2"/>
      <c r="LFL2" s="2"/>
      <c r="LFM2" s="2"/>
      <c r="LFN2" s="2"/>
      <c r="LFO2" s="2"/>
      <c r="LFP2" s="2"/>
      <c r="LFQ2" s="2"/>
      <c r="LFR2" s="2"/>
      <c r="LFS2" s="2"/>
      <c r="LFT2" s="2"/>
      <c r="LFU2" s="2" t="s">
        <v>0</v>
      </c>
      <c r="LFV2" s="2"/>
      <c r="LFW2" s="2"/>
      <c r="LFX2" s="2"/>
      <c r="LFY2" s="2"/>
      <c r="LFZ2" s="2"/>
      <c r="LGA2" s="2"/>
      <c r="LGB2" s="2"/>
      <c r="LGC2" s="2"/>
      <c r="LGD2" s="2"/>
      <c r="LGE2" s="2"/>
      <c r="LGF2" s="2"/>
      <c r="LGG2" s="2"/>
      <c r="LGH2" s="2"/>
      <c r="LGI2" s="2"/>
      <c r="LGJ2" s="2"/>
      <c r="LGK2" s="2" t="s">
        <v>0</v>
      </c>
      <c r="LGL2" s="2"/>
      <c r="LGM2" s="2"/>
      <c r="LGN2" s="2"/>
      <c r="LGO2" s="2"/>
      <c r="LGP2" s="2"/>
      <c r="LGQ2" s="2"/>
      <c r="LGR2" s="2"/>
      <c r="LGS2" s="2"/>
      <c r="LGT2" s="2"/>
      <c r="LGU2" s="2"/>
      <c r="LGV2" s="2"/>
      <c r="LGW2" s="2"/>
      <c r="LGX2" s="2"/>
      <c r="LGY2" s="2"/>
      <c r="LGZ2" s="2"/>
      <c r="LHA2" s="2" t="s">
        <v>0</v>
      </c>
      <c r="LHB2" s="2"/>
      <c r="LHC2" s="2"/>
      <c r="LHD2" s="2"/>
      <c r="LHE2" s="2"/>
      <c r="LHF2" s="2"/>
      <c r="LHG2" s="2"/>
      <c r="LHH2" s="2"/>
      <c r="LHI2" s="2"/>
      <c r="LHJ2" s="2"/>
      <c r="LHK2" s="2"/>
      <c r="LHL2" s="2"/>
      <c r="LHM2" s="2"/>
      <c r="LHN2" s="2"/>
      <c r="LHO2" s="2"/>
      <c r="LHP2" s="2"/>
      <c r="LHQ2" s="2" t="s">
        <v>0</v>
      </c>
      <c r="LHR2" s="2"/>
      <c r="LHS2" s="2"/>
      <c r="LHT2" s="2"/>
      <c r="LHU2" s="2"/>
      <c r="LHV2" s="2"/>
      <c r="LHW2" s="2"/>
      <c r="LHX2" s="2"/>
      <c r="LHY2" s="2"/>
      <c r="LHZ2" s="2"/>
      <c r="LIA2" s="2"/>
      <c r="LIB2" s="2"/>
      <c r="LIC2" s="2"/>
      <c r="LID2" s="2"/>
      <c r="LIE2" s="2"/>
      <c r="LIF2" s="2"/>
      <c r="LIG2" s="2" t="s">
        <v>0</v>
      </c>
      <c r="LIH2" s="2"/>
      <c r="LII2" s="2"/>
      <c r="LIJ2" s="2"/>
      <c r="LIK2" s="2"/>
      <c r="LIL2" s="2"/>
      <c r="LIM2" s="2"/>
      <c r="LIN2" s="2"/>
      <c r="LIO2" s="2"/>
      <c r="LIP2" s="2"/>
      <c r="LIQ2" s="2"/>
      <c r="LIR2" s="2"/>
      <c r="LIS2" s="2"/>
      <c r="LIT2" s="2"/>
      <c r="LIU2" s="2"/>
      <c r="LIV2" s="2"/>
      <c r="LIW2" s="2" t="s">
        <v>0</v>
      </c>
      <c r="LIX2" s="2"/>
      <c r="LIY2" s="2"/>
      <c r="LIZ2" s="2"/>
      <c r="LJA2" s="2"/>
      <c r="LJB2" s="2"/>
      <c r="LJC2" s="2"/>
      <c r="LJD2" s="2"/>
      <c r="LJE2" s="2"/>
      <c r="LJF2" s="2"/>
      <c r="LJG2" s="2"/>
      <c r="LJH2" s="2"/>
      <c r="LJI2" s="2"/>
      <c r="LJJ2" s="2"/>
      <c r="LJK2" s="2"/>
      <c r="LJL2" s="2"/>
      <c r="LJM2" s="2" t="s">
        <v>0</v>
      </c>
      <c r="LJN2" s="2"/>
      <c r="LJO2" s="2"/>
      <c r="LJP2" s="2"/>
      <c r="LJQ2" s="2"/>
      <c r="LJR2" s="2"/>
      <c r="LJS2" s="2"/>
      <c r="LJT2" s="2"/>
      <c r="LJU2" s="2"/>
      <c r="LJV2" s="2"/>
      <c r="LJW2" s="2"/>
      <c r="LJX2" s="2"/>
      <c r="LJY2" s="2"/>
      <c r="LJZ2" s="2"/>
      <c r="LKA2" s="2"/>
      <c r="LKB2" s="2"/>
      <c r="LKC2" s="2" t="s">
        <v>0</v>
      </c>
      <c r="LKD2" s="2"/>
      <c r="LKE2" s="2"/>
      <c r="LKF2" s="2"/>
      <c r="LKG2" s="2"/>
      <c r="LKH2" s="2"/>
      <c r="LKI2" s="2"/>
      <c r="LKJ2" s="2"/>
      <c r="LKK2" s="2"/>
      <c r="LKL2" s="2"/>
      <c r="LKM2" s="2"/>
      <c r="LKN2" s="2"/>
      <c r="LKO2" s="2"/>
      <c r="LKP2" s="2"/>
      <c r="LKQ2" s="2"/>
      <c r="LKR2" s="2"/>
      <c r="LKS2" s="2" t="s">
        <v>0</v>
      </c>
      <c r="LKT2" s="2"/>
      <c r="LKU2" s="2"/>
      <c r="LKV2" s="2"/>
      <c r="LKW2" s="2"/>
      <c r="LKX2" s="2"/>
      <c r="LKY2" s="2"/>
      <c r="LKZ2" s="2"/>
      <c r="LLA2" s="2"/>
      <c r="LLB2" s="2"/>
      <c r="LLC2" s="2"/>
      <c r="LLD2" s="2"/>
      <c r="LLE2" s="2"/>
      <c r="LLF2" s="2"/>
      <c r="LLG2" s="2"/>
      <c r="LLH2" s="2"/>
      <c r="LLI2" s="2" t="s">
        <v>0</v>
      </c>
      <c r="LLJ2" s="2"/>
      <c r="LLK2" s="2"/>
      <c r="LLL2" s="2"/>
      <c r="LLM2" s="2"/>
      <c r="LLN2" s="2"/>
      <c r="LLO2" s="2"/>
      <c r="LLP2" s="2"/>
      <c r="LLQ2" s="2"/>
      <c r="LLR2" s="2"/>
      <c r="LLS2" s="2"/>
      <c r="LLT2" s="2"/>
      <c r="LLU2" s="2"/>
      <c r="LLV2" s="2"/>
      <c r="LLW2" s="2"/>
      <c r="LLX2" s="2"/>
      <c r="LLY2" s="2" t="s">
        <v>0</v>
      </c>
      <c r="LLZ2" s="2"/>
      <c r="LMA2" s="2"/>
      <c r="LMB2" s="2"/>
      <c r="LMC2" s="2"/>
      <c r="LMD2" s="2"/>
      <c r="LME2" s="2"/>
      <c r="LMF2" s="2"/>
      <c r="LMG2" s="2"/>
      <c r="LMH2" s="2"/>
      <c r="LMI2" s="2"/>
      <c r="LMJ2" s="2"/>
      <c r="LMK2" s="2"/>
      <c r="LML2" s="2"/>
      <c r="LMM2" s="2"/>
      <c r="LMN2" s="2"/>
      <c r="LMO2" s="2" t="s">
        <v>0</v>
      </c>
      <c r="LMP2" s="2"/>
      <c r="LMQ2" s="2"/>
      <c r="LMR2" s="2"/>
      <c r="LMS2" s="2"/>
      <c r="LMT2" s="2"/>
      <c r="LMU2" s="2"/>
      <c r="LMV2" s="2"/>
      <c r="LMW2" s="2"/>
      <c r="LMX2" s="2"/>
      <c r="LMY2" s="2"/>
      <c r="LMZ2" s="2"/>
      <c r="LNA2" s="2"/>
      <c r="LNB2" s="2"/>
      <c r="LNC2" s="2"/>
      <c r="LND2" s="2"/>
      <c r="LNE2" s="2" t="s">
        <v>0</v>
      </c>
      <c r="LNF2" s="2"/>
      <c r="LNG2" s="2"/>
      <c r="LNH2" s="2"/>
      <c r="LNI2" s="2"/>
      <c r="LNJ2" s="2"/>
      <c r="LNK2" s="2"/>
      <c r="LNL2" s="2"/>
      <c r="LNM2" s="2"/>
      <c r="LNN2" s="2"/>
      <c r="LNO2" s="2"/>
      <c r="LNP2" s="2"/>
      <c r="LNQ2" s="2"/>
      <c r="LNR2" s="2"/>
      <c r="LNS2" s="2"/>
      <c r="LNT2" s="2"/>
      <c r="LNU2" s="2" t="s">
        <v>0</v>
      </c>
      <c r="LNV2" s="2"/>
      <c r="LNW2" s="2"/>
      <c r="LNX2" s="2"/>
      <c r="LNY2" s="2"/>
      <c r="LNZ2" s="2"/>
      <c r="LOA2" s="2"/>
      <c r="LOB2" s="2"/>
      <c r="LOC2" s="2"/>
      <c r="LOD2" s="2"/>
      <c r="LOE2" s="2"/>
      <c r="LOF2" s="2"/>
      <c r="LOG2" s="2"/>
      <c r="LOH2" s="2"/>
      <c r="LOI2" s="2"/>
      <c r="LOJ2" s="2"/>
      <c r="LOK2" s="2" t="s">
        <v>0</v>
      </c>
      <c r="LOL2" s="2"/>
      <c r="LOM2" s="2"/>
      <c r="LON2" s="2"/>
      <c r="LOO2" s="2"/>
      <c r="LOP2" s="2"/>
      <c r="LOQ2" s="2"/>
      <c r="LOR2" s="2"/>
      <c r="LOS2" s="2"/>
      <c r="LOT2" s="2"/>
      <c r="LOU2" s="2"/>
      <c r="LOV2" s="2"/>
      <c r="LOW2" s="2"/>
      <c r="LOX2" s="2"/>
      <c r="LOY2" s="2"/>
      <c r="LOZ2" s="2"/>
      <c r="LPA2" s="2" t="s">
        <v>0</v>
      </c>
      <c r="LPB2" s="2"/>
      <c r="LPC2" s="2"/>
      <c r="LPD2" s="2"/>
      <c r="LPE2" s="2"/>
      <c r="LPF2" s="2"/>
      <c r="LPG2" s="2"/>
      <c r="LPH2" s="2"/>
      <c r="LPI2" s="2"/>
      <c r="LPJ2" s="2"/>
      <c r="LPK2" s="2"/>
      <c r="LPL2" s="2"/>
      <c r="LPM2" s="2"/>
      <c r="LPN2" s="2"/>
      <c r="LPO2" s="2"/>
      <c r="LPP2" s="2"/>
      <c r="LPQ2" s="2" t="s">
        <v>0</v>
      </c>
      <c r="LPR2" s="2"/>
      <c r="LPS2" s="2"/>
      <c r="LPT2" s="2"/>
      <c r="LPU2" s="2"/>
      <c r="LPV2" s="2"/>
      <c r="LPW2" s="2"/>
      <c r="LPX2" s="2"/>
      <c r="LPY2" s="2"/>
      <c r="LPZ2" s="2"/>
      <c r="LQA2" s="2"/>
      <c r="LQB2" s="2"/>
      <c r="LQC2" s="2"/>
      <c r="LQD2" s="2"/>
      <c r="LQE2" s="2"/>
      <c r="LQF2" s="2"/>
      <c r="LQG2" s="2" t="s">
        <v>0</v>
      </c>
      <c r="LQH2" s="2"/>
      <c r="LQI2" s="2"/>
      <c r="LQJ2" s="2"/>
      <c r="LQK2" s="2"/>
      <c r="LQL2" s="2"/>
      <c r="LQM2" s="2"/>
      <c r="LQN2" s="2"/>
      <c r="LQO2" s="2"/>
      <c r="LQP2" s="2"/>
      <c r="LQQ2" s="2"/>
      <c r="LQR2" s="2"/>
      <c r="LQS2" s="2"/>
      <c r="LQT2" s="2"/>
      <c r="LQU2" s="2"/>
      <c r="LQV2" s="2"/>
      <c r="LQW2" s="2" t="s">
        <v>0</v>
      </c>
      <c r="LQX2" s="2"/>
      <c r="LQY2" s="2"/>
      <c r="LQZ2" s="2"/>
      <c r="LRA2" s="2"/>
      <c r="LRB2" s="2"/>
      <c r="LRC2" s="2"/>
      <c r="LRD2" s="2"/>
      <c r="LRE2" s="2"/>
      <c r="LRF2" s="2"/>
      <c r="LRG2" s="2"/>
      <c r="LRH2" s="2"/>
      <c r="LRI2" s="2"/>
      <c r="LRJ2" s="2"/>
      <c r="LRK2" s="2"/>
      <c r="LRL2" s="2"/>
      <c r="LRM2" s="2" t="s">
        <v>0</v>
      </c>
      <c r="LRN2" s="2"/>
      <c r="LRO2" s="2"/>
      <c r="LRP2" s="2"/>
      <c r="LRQ2" s="2"/>
      <c r="LRR2" s="2"/>
      <c r="LRS2" s="2"/>
      <c r="LRT2" s="2"/>
      <c r="LRU2" s="2"/>
      <c r="LRV2" s="2"/>
      <c r="LRW2" s="2"/>
      <c r="LRX2" s="2"/>
      <c r="LRY2" s="2"/>
      <c r="LRZ2" s="2"/>
      <c r="LSA2" s="2"/>
      <c r="LSB2" s="2"/>
      <c r="LSC2" s="2" t="s">
        <v>0</v>
      </c>
      <c r="LSD2" s="2"/>
      <c r="LSE2" s="2"/>
      <c r="LSF2" s="2"/>
      <c r="LSG2" s="2"/>
      <c r="LSH2" s="2"/>
      <c r="LSI2" s="2"/>
      <c r="LSJ2" s="2"/>
      <c r="LSK2" s="2"/>
      <c r="LSL2" s="2"/>
      <c r="LSM2" s="2"/>
      <c r="LSN2" s="2"/>
      <c r="LSO2" s="2"/>
      <c r="LSP2" s="2"/>
      <c r="LSQ2" s="2"/>
      <c r="LSR2" s="2"/>
      <c r="LSS2" s="2" t="s">
        <v>0</v>
      </c>
      <c r="LST2" s="2"/>
      <c r="LSU2" s="2"/>
      <c r="LSV2" s="2"/>
      <c r="LSW2" s="2"/>
      <c r="LSX2" s="2"/>
      <c r="LSY2" s="2"/>
      <c r="LSZ2" s="2"/>
      <c r="LTA2" s="2"/>
      <c r="LTB2" s="2"/>
      <c r="LTC2" s="2"/>
      <c r="LTD2" s="2"/>
      <c r="LTE2" s="2"/>
      <c r="LTF2" s="2"/>
      <c r="LTG2" s="2"/>
      <c r="LTH2" s="2"/>
      <c r="LTI2" s="2" t="s">
        <v>0</v>
      </c>
      <c r="LTJ2" s="2"/>
      <c r="LTK2" s="2"/>
      <c r="LTL2" s="2"/>
      <c r="LTM2" s="2"/>
      <c r="LTN2" s="2"/>
      <c r="LTO2" s="2"/>
      <c r="LTP2" s="2"/>
      <c r="LTQ2" s="2"/>
      <c r="LTR2" s="2"/>
      <c r="LTS2" s="2"/>
      <c r="LTT2" s="2"/>
      <c r="LTU2" s="2"/>
      <c r="LTV2" s="2"/>
      <c r="LTW2" s="2"/>
      <c r="LTX2" s="2"/>
      <c r="LTY2" s="2" t="s">
        <v>0</v>
      </c>
      <c r="LTZ2" s="2"/>
      <c r="LUA2" s="2"/>
      <c r="LUB2" s="2"/>
      <c r="LUC2" s="2"/>
      <c r="LUD2" s="2"/>
      <c r="LUE2" s="2"/>
      <c r="LUF2" s="2"/>
      <c r="LUG2" s="2"/>
      <c r="LUH2" s="2"/>
      <c r="LUI2" s="2"/>
      <c r="LUJ2" s="2"/>
      <c r="LUK2" s="2"/>
      <c r="LUL2" s="2"/>
      <c r="LUM2" s="2"/>
      <c r="LUN2" s="2"/>
      <c r="LUO2" s="2" t="s">
        <v>0</v>
      </c>
      <c r="LUP2" s="2"/>
      <c r="LUQ2" s="2"/>
      <c r="LUR2" s="2"/>
      <c r="LUS2" s="2"/>
      <c r="LUT2" s="2"/>
      <c r="LUU2" s="2"/>
      <c r="LUV2" s="2"/>
      <c r="LUW2" s="2"/>
      <c r="LUX2" s="2"/>
      <c r="LUY2" s="2"/>
      <c r="LUZ2" s="2"/>
      <c r="LVA2" s="2"/>
      <c r="LVB2" s="2"/>
      <c r="LVC2" s="2"/>
      <c r="LVD2" s="2"/>
      <c r="LVE2" s="2" t="s">
        <v>0</v>
      </c>
      <c r="LVF2" s="2"/>
      <c r="LVG2" s="2"/>
      <c r="LVH2" s="2"/>
      <c r="LVI2" s="2"/>
      <c r="LVJ2" s="2"/>
      <c r="LVK2" s="2"/>
      <c r="LVL2" s="2"/>
      <c r="LVM2" s="2"/>
      <c r="LVN2" s="2"/>
      <c r="LVO2" s="2"/>
      <c r="LVP2" s="2"/>
      <c r="LVQ2" s="2"/>
      <c r="LVR2" s="2"/>
      <c r="LVS2" s="2"/>
      <c r="LVT2" s="2"/>
      <c r="LVU2" s="2" t="s">
        <v>0</v>
      </c>
      <c r="LVV2" s="2"/>
      <c r="LVW2" s="2"/>
      <c r="LVX2" s="2"/>
      <c r="LVY2" s="2"/>
      <c r="LVZ2" s="2"/>
      <c r="LWA2" s="2"/>
      <c r="LWB2" s="2"/>
      <c r="LWC2" s="2"/>
      <c r="LWD2" s="2"/>
      <c r="LWE2" s="2"/>
      <c r="LWF2" s="2"/>
      <c r="LWG2" s="2"/>
      <c r="LWH2" s="2"/>
      <c r="LWI2" s="2"/>
      <c r="LWJ2" s="2"/>
      <c r="LWK2" s="2" t="s">
        <v>0</v>
      </c>
      <c r="LWL2" s="2"/>
      <c r="LWM2" s="2"/>
      <c r="LWN2" s="2"/>
      <c r="LWO2" s="2"/>
      <c r="LWP2" s="2"/>
      <c r="LWQ2" s="2"/>
      <c r="LWR2" s="2"/>
      <c r="LWS2" s="2"/>
      <c r="LWT2" s="2"/>
      <c r="LWU2" s="2"/>
      <c r="LWV2" s="2"/>
      <c r="LWW2" s="2"/>
      <c r="LWX2" s="2"/>
      <c r="LWY2" s="2"/>
      <c r="LWZ2" s="2"/>
      <c r="LXA2" s="2" t="s">
        <v>0</v>
      </c>
      <c r="LXB2" s="2"/>
      <c r="LXC2" s="2"/>
      <c r="LXD2" s="2"/>
      <c r="LXE2" s="2"/>
      <c r="LXF2" s="2"/>
      <c r="LXG2" s="2"/>
      <c r="LXH2" s="2"/>
      <c r="LXI2" s="2"/>
      <c r="LXJ2" s="2"/>
      <c r="LXK2" s="2"/>
      <c r="LXL2" s="2"/>
      <c r="LXM2" s="2"/>
      <c r="LXN2" s="2"/>
      <c r="LXO2" s="2"/>
      <c r="LXP2" s="2"/>
      <c r="LXQ2" s="2" t="s">
        <v>0</v>
      </c>
      <c r="LXR2" s="2"/>
      <c r="LXS2" s="2"/>
      <c r="LXT2" s="2"/>
      <c r="LXU2" s="2"/>
      <c r="LXV2" s="2"/>
      <c r="LXW2" s="2"/>
      <c r="LXX2" s="2"/>
      <c r="LXY2" s="2"/>
      <c r="LXZ2" s="2"/>
      <c r="LYA2" s="2"/>
      <c r="LYB2" s="2"/>
      <c r="LYC2" s="2"/>
      <c r="LYD2" s="2"/>
      <c r="LYE2" s="2"/>
      <c r="LYF2" s="2"/>
      <c r="LYG2" s="2" t="s">
        <v>0</v>
      </c>
      <c r="LYH2" s="2"/>
      <c r="LYI2" s="2"/>
      <c r="LYJ2" s="2"/>
      <c r="LYK2" s="2"/>
      <c r="LYL2" s="2"/>
      <c r="LYM2" s="2"/>
      <c r="LYN2" s="2"/>
      <c r="LYO2" s="2"/>
      <c r="LYP2" s="2"/>
      <c r="LYQ2" s="2"/>
      <c r="LYR2" s="2"/>
      <c r="LYS2" s="2"/>
      <c r="LYT2" s="2"/>
      <c r="LYU2" s="2"/>
      <c r="LYV2" s="2"/>
      <c r="LYW2" s="2" t="s">
        <v>0</v>
      </c>
      <c r="LYX2" s="2"/>
      <c r="LYY2" s="2"/>
      <c r="LYZ2" s="2"/>
      <c r="LZA2" s="2"/>
      <c r="LZB2" s="2"/>
      <c r="LZC2" s="2"/>
      <c r="LZD2" s="2"/>
      <c r="LZE2" s="2"/>
      <c r="LZF2" s="2"/>
      <c r="LZG2" s="2"/>
      <c r="LZH2" s="2"/>
      <c r="LZI2" s="2"/>
      <c r="LZJ2" s="2"/>
      <c r="LZK2" s="2"/>
      <c r="LZL2" s="2"/>
      <c r="LZM2" s="2" t="s">
        <v>0</v>
      </c>
      <c r="LZN2" s="2"/>
      <c r="LZO2" s="2"/>
      <c r="LZP2" s="2"/>
      <c r="LZQ2" s="2"/>
      <c r="LZR2" s="2"/>
      <c r="LZS2" s="2"/>
      <c r="LZT2" s="2"/>
      <c r="LZU2" s="2"/>
      <c r="LZV2" s="2"/>
      <c r="LZW2" s="2"/>
      <c r="LZX2" s="2"/>
      <c r="LZY2" s="2"/>
      <c r="LZZ2" s="2"/>
      <c r="MAA2" s="2"/>
      <c r="MAB2" s="2"/>
      <c r="MAC2" s="2" t="s">
        <v>0</v>
      </c>
      <c r="MAD2" s="2"/>
      <c r="MAE2" s="2"/>
      <c r="MAF2" s="2"/>
      <c r="MAG2" s="2"/>
      <c r="MAH2" s="2"/>
      <c r="MAI2" s="2"/>
      <c r="MAJ2" s="2"/>
      <c r="MAK2" s="2"/>
      <c r="MAL2" s="2"/>
      <c r="MAM2" s="2"/>
      <c r="MAN2" s="2"/>
      <c r="MAO2" s="2"/>
      <c r="MAP2" s="2"/>
      <c r="MAQ2" s="2"/>
      <c r="MAR2" s="2"/>
      <c r="MAS2" s="2" t="s">
        <v>0</v>
      </c>
      <c r="MAT2" s="2"/>
      <c r="MAU2" s="2"/>
      <c r="MAV2" s="2"/>
      <c r="MAW2" s="2"/>
      <c r="MAX2" s="2"/>
      <c r="MAY2" s="2"/>
      <c r="MAZ2" s="2"/>
      <c r="MBA2" s="2"/>
      <c r="MBB2" s="2"/>
      <c r="MBC2" s="2"/>
      <c r="MBD2" s="2"/>
      <c r="MBE2" s="2"/>
      <c r="MBF2" s="2"/>
      <c r="MBG2" s="2"/>
      <c r="MBH2" s="2"/>
      <c r="MBI2" s="2" t="s">
        <v>0</v>
      </c>
      <c r="MBJ2" s="2"/>
      <c r="MBK2" s="2"/>
      <c r="MBL2" s="2"/>
      <c r="MBM2" s="2"/>
      <c r="MBN2" s="2"/>
      <c r="MBO2" s="2"/>
      <c r="MBP2" s="2"/>
      <c r="MBQ2" s="2"/>
      <c r="MBR2" s="2"/>
      <c r="MBS2" s="2"/>
      <c r="MBT2" s="2"/>
      <c r="MBU2" s="2"/>
      <c r="MBV2" s="2"/>
      <c r="MBW2" s="2"/>
      <c r="MBX2" s="2"/>
      <c r="MBY2" s="2" t="s">
        <v>0</v>
      </c>
      <c r="MBZ2" s="2"/>
      <c r="MCA2" s="2"/>
      <c r="MCB2" s="2"/>
      <c r="MCC2" s="2"/>
      <c r="MCD2" s="2"/>
      <c r="MCE2" s="2"/>
      <c r="MCF2" s="2"/>
      <c r="MCG2" s="2"/>
      <c r="MCH2" s="2"/>
      <c r="MCI2" s="2"/>
      <c r="MCJ2" s="2"/>
      <c r="MCK2" s="2"/>
      <c r="MCL2" s="2"/>
      <c r="MCM2" s="2"/>
      <c r="MCN2" s="2"/>
      <c r="MCO2" s="2" t="s">
        <v>0</v>
      </c>
      <c r="MCP2" s="2"/>
      <c r="MCQ2" s="2"/>
      <c r="MCR2" s="2"/>
      <c r="MCS2" s="2"/>
      <c r="MCT2" s="2"/>
      <c r="MCU2" s="2"/>
      <c r="MCV2" s="2"/>
      <c r="MCW2" s="2"/>
      <c r="MCX2" s="2"/>
      <c r="MCY2" s="2"/>
      <c r="MCZ2" s="2"/>
      <c r="MDA2" s="2"/>
      <c r="MDB2" s="2"/>
      <c r="MDC2" s="2"/>
      <c r="MDD2" s="2"/>
      <c r="MDE2" s="2" t="s">
        <v>0</v>
      </c>
      <c r="MDF2" s="2"/>
      <c r="MDG2" s="2"/>
      <c r="MDH2" s="2"/>
      <c r="MDI2" s="2"/>
      <c r="MDJ2" s="2"/>
      <c r="MDK2" s="2"/>
      <c r="MDL2" s="2"/>
      <c r="MDM2" s="2"/>
      <c r="MDN2" s="2"/>
      <c r="MDO2" s="2"/>
      <c r="MDP2" s="2"/>
      <c r="MDQ2" s="2"/>
      <c r="MDR2" s="2"/>
      <c r="MDS2" s="2"/>
      <c r="MDT2" s="2"/>
      <c r="MDU2" s="2" t="s">
        <v>0</v>
      </c>
      <c r="MDV2" s="2"/>
      <c r="MDW2" s="2"/>
      <c r="MDX2" s="2"/>
      <c r="MDY2" s="2"/>
      <c r="MDZ2" s="2"/>
      <c r="MEA2" s="2"/>
      <c r="MEB2" s="2"/>
      <c r="MEC2" s="2"/>
      <c r="MED2" s="2"/>
      <c r="MEE2" s="2"/>
      <c r="MEF2" s="2"/>
      <c r="MEG2" s="2"/>
      <c r="MEH2" s="2"/>
      <c r="MEI2" s="2"/>
      <c r="MEJ2" s="2"/>
      <c r="MEK2" s="2" t="s">
        <v>0</v>
      </c>
      <c r="MEL2" s="2"/>
      <c r="MEM2" s="2"/>
      <c r="MEN2" s="2"/>
      <c r="MEO2" s="2"/>
      <c r="MEP2" s="2"/>
      <c r="MEQ2" s="2"/>
      <c r="MER2" s="2"/>
      <c r="MES2" s="2"/>
      <c r="MET2" s="2"/>
      <c r="MEU2" s="2"/>
      <c r="MEV2" s="2"/>
      <c r="MEW2" s="2"/>
      <c r="MEX2" s="2"/>
      <c r="MEY2" s="2"/>
      <c r="MEZ2" s="2"/>
      <c r="MFA2" s="2" t="s">
        <v>0</v>
      </c>
      <c r="MFB2" s="2"/>
      <c r="MFC2" s="2"/>
      <c r="MFD2" s="2"/>
      <c r="MFE2" s="2"/>
      <c r="MFF2" s="2"/>
      <c r="MFG2" s="2"/>
      <c r="MFH2" s="2"/>
      <c r="MFI2" s="2"/>
      <c r="MFJ2" s="2"/>
      <c r="MFK2" s="2"/>
      <c r="MFL2" s="2"/>
      <c r="MFM2" s="2"/>
      <c r="MFN2" s="2"/>
      <c r="MFO2" s="2"/>
      <c r="MFP2" s="2"/>
      <c r="MFQ2" s="2" t="s">
        <v>0</v>
      </c>
      <c r="MFR2" s="2"/>
      <c r="MFS2" s="2"/>
      <c r="MFT2" s="2"/>
      <c r="MFU2" s="2"/>
      <c r="MFV2" s="2"/>
      <c r="MFW2" s="2"/>
      <c r="MFX2" s="2"/>
      <c r="MFY2" s="2"/>
      <c r="MFZ2" s="2"/>
      <c r="MGA2" s="2"/>
      <c r="MGB2" s="2"/>
      <c r="MGC2" s="2"/>
      <c r="MGD2" s="2"/>
      <c r="MGE2" s="2"/>
      <c r="MGF2" s="2"/>
      <c r="MGG2" s="2" t="s">
        <v>0</v>
      </c>
      <c r="MGH2" s="2"/>
      <c r="MGI2" s="2"/>
      <c r="MGJ2" s="2"/>
      <c r="MGK2" s="2"/>
      <c r="MGL2" s="2"/>
      <c r="MGM2" s="2"/>
      <c r="MGN2" s="2"/>
      <c r="MGO2" s="2"/>
      <c r="MGP2" s="2"/>
      <c r="MGQ2" s="2"/>
      <c r="MGR2" s="2"/>
      <c r="MGS2" s="2"/>
      <c r="MGT2" s="2"/>
      <c r="MGU2" s="2"/>
      <c r="MGV2" s="2"/>
      <c r="MGW2" s="2" t="s">
        <v>0</v>
      </c>
      <c r="MGX2" s="2"/>
      <c r="MGY2" s="2"/>
      <c r="MGZ2" s="2"/>
      <c r="MHA2" s="2"/>
      <c r="MHB2" s="2"/>
      <c r="MHC2" s="2"/>
      <c r="MHD2" s="2"/>
      <c r="MHE2" s="2"/>
      <c r="MHF2" s="2"/>
      <c r="MHG2" s="2"/>
      <c r="MHH2" s="2"/>
      <c r="MHI2" s="2"/>
      <c r="MHJ2" s="2"/>
      <c r="MHK2" s="2"/>
      <c r="MHL2" s="2"/>
      <c r="MHM2" s="2" t="s">
        <v>0</v>
      </c>
      <c r="MHN2" s="2"/>
      <c r="MHO2" s="2"/>
      <c r="MHP2" s="2"/>
      <c r="MHQ2" s="2"/>
      <c r="MHR2" s="2"/>
      <c r="MHS2" s="2"/>
      <c r="MHT2" s="2"/>
      <c r="MHU2" s="2"/>
      <c r="MHV2" s="2"/>
      <c r="MHW2" s="2"/>
      <c r="MHX2" s="2"/>
      <c r="MHY2" s="2"/>
      <c r="MHZ2" s="2"/>
      <c r="MIA2" s="2"/>
      <c r="MIB2" s="2"/>
      <c r="MIC2" s="2" t="s">
        <v>0</v>
      </c>
      <c r="MID2" s="2"/>
      <c r="MIE2" s="2"/>
      <c r="MIF2" s="2"/>
      <c r="MIG2" s="2"/>
      <c r="MIH2" s="2"/>
      <c r="MII2" s="2"/>
      <c r="MIJ2" s="2"/>
      <c r="MIK2" s="2"/>
      <c r="MIL2" s="2"/>
      <c r="MIM2" s="2"/>
      <c r="MIN2" s="2"/>
      <c r="MIO2" s="2"/>
      <c r="MIP2" s="2"/>
      <c r="MIQ2" s="2"/>
      <c r="MIR2" s="2"/>
      <c r="MIS2" s="2" t="s">
        <v>0</v>
      </c>
      <c r="MIT2" s="2"/>
      <c r="MIU2" s="2"/>
      <c r="MIV2" s="2"/>
      <c r="MIW2" s="2"/>
      <c r="MIX2" s="2"/>
      <c r="MIY2" s="2"/>
      <c r="MIZ2" s="2"/>
      <c r="MJA2" s="2"/>
      <c r="MJB2" s="2"/>
      <c r="MJC2" s="2"/>
      <c r="MJD2" s="2"/>
      <c r="MJE2" s="2"/>
      <c r="MJF2" s="2"/>
      <c r="MJG2" s="2"/>
      <c r="MJH2" s="2"/>
      <c r="MJI2" s="2" t="s">
        <v>0</v>
      </c>
      <c r="MJJ2" s="2"/>
      <c r="MJK2" s="2"/>
      <c r="MJL2" s="2"/>
      <c r="MJM2" s="2"/>
      <c r="MJN2" s="2"/>
      <c r="MJO2" s="2"/>
      <c r="MJP2" s="2"/>
      <c r="MJQ2" s="2"/>
      <c r="MJR2" s="2"/>
      <c r="MJS2" s="2"/>
      <c r="MJT2" s="2"/>
      <c r="MJU2" s="2"/>
      <c r="MJV2" s="2"/>
      <c r="MJW2" s="2"/>
      <c r="MJX2" s="2"/>
      <c r="MJY2" s="2" t="s">
        <v>0</v>
      </c>
      <c r="MJZ2" s="2"/>
      <c r="MKA2" s="2"/>
      <c r="MKB2" s="2"/>
      <c r="MKC2" s="2"/>
      <c r="MKD2" s="2"/>
      <c r="MKE2" s="2"/>
      <c r="MKF2" s="2"/>
      <c r="MKG2" s="2"/>
      <c r="MKH2" s="2"/>
      <c r="MKI2" s="2"/>
      <c r="MKJ2" s="2"/>
      <c r="MKK2" s="2"/>
      <c r="MKL2" s="2"/>
      <c r="MKM2" s="2"/>
      <c r="MKN2" s="2"/>
      <c r="MKO2" s="2" t="s">
        <v>0</v>
      </c>
      <c r="MKP2" s="2"/>
      <c r="MKQ2" s="2"/>
      <c r="MKR2" s="2"/>
      <c r="MKS2" s="2"/>
      <c r="MKT2" s="2"/>
      <c r="MKU2" s="2"/>
      <c r="MKV2" s="2"/>
      <c r="MKW2" s="2"/>
      <c r="MKX2" s="2"/>
      <c r="MKY2" s="2"/>
      <c r="MKZ2" s="2"/>
      <c r="MLA2" s="2"/>
      <c r="MLB2" s="2"/>
      <c r="MLC2" s="2"/>
      <c r="MLD2" s="2"/>
      <c r="MLE2" s="2" t="s">
        <v>0</v>
      </c>
      <c r="MLF2" s="2"/>
      <c r="MLG2" s="2"/>
      <c r="MLH2" s="2"/>
      <c r="MLI2" s="2"/>
      <c r="MLJ2" s="2"/>
      <c r="MLK2" s="2"/>
      <c r="MLL2" s="2"/>
      <c r="MLM2" s="2"/>
      <c r="MLN2" s="2"/>
      <c r="MLO2" s="2"/>
      <c r="MLP2" s="2"/>
      <c r="MLQ2" s="2"/>
      <c r="MLR2" s="2"/>
      <c r="MLS2" s="2"/>
      <c r="MLT2" s="2"/>
      <c r="MLU2" s="2" t="s">
        <v>0</v>
      </c>
      <c r="MLV2" s="2"/>
      <c r="MLW2" s="2"/>
      <c r="MLX2" s="2"/>
      <c r="MLY2" s="2"/>
      <c r="MLZ2" s="2"/>
      <c r="MMA2" s="2"/>
      <c r="MMB2" s="2"/>
      <c r="MMC2" s="2"/>
      <c r="MMD2" s="2"/>
      <c r="MME2" s="2"/>
      <c r="MMF2" s="2"/>
      <c r="MMG2" s="2"/>
      <c r="MMH2" s="2"/>
      <c r="MMI2" s="2"/>
      <c r="MMJ2" s="2"/>
      <c r="MMK2" s="2" t="s">
        <v>0</v>
      </c>
      <c r="MML2" s="2"/>
      <c r="MMM2" s="2"/>
      <c r="MMN2" s="2"/>
      <c r="MMO2" s="2"/>
      <c r="MMP2" s="2"/>
      <c r="MMQ2" s="2"/>
      <c r="MMR2" s="2"/>
      <c r="MMS2" s="2"/>
      <c r="MMT2" s="2"/>
      <c r="MMU2" s="2"/>
      <c r="MMV2" s="2"/>
      <c r="MMW2" s="2"/>
      <c r="MMX2" s="2"/>
      <c r="MMY2" s="2"/>
      <c r="MMZ2" s="2"/>
      <c r="MNA2" s="2" t="s">
        <v>0</v>
      </c>
      <c r="MNB2" s="2"/>
      <c r="MNC2" s="2"/>
      <c r="MND2" s="2"/>
      <c r="MNE2" s="2"/>
      <c r="MNF2" s="2"/>
      <c r="MNG2" s="2"/>
      <c r="MNH2" s="2"/>
      <c r="MNI2" s="2"/>
      <c r="MNJ2" s="2"/>
      <c r="MNK2" s="2"/>
      <c r="MNL2" s="2"/>
      <c r="MNM2" s="2"/>
      <c r="MNN2" s="2"/>
      <c r="MNO2" s="2"/>
      <c r="MNP2" s="2"/>
      <c r="MNQ2" s="2" t="s">
        <v>0</v>
      </c>
      <c r="MNR2" s="2"/>
      <c r="MNS2" s="2"/>
      <c r="MNT2" s="2"/>
      <c r="MNU2" s="2"/>
      <c r="MNV2" s="2"/>
      <c r="MNW2" s="2"/>
      <c r="MNX2" s="2"/>
      <c r="MNY2" s="2"/>
      <c r="MNZ2" s="2"/>
      <c r="MOA2" s="2"/>
      <c r="MOB2" s="2"/>
      <c r="MOC2" s="2"/>
      <c r="MOD2" s="2"/>
      <c r="MOE2" s="2"/>
      <c r="MOF2" s="2"/>
      <c r="MOG2" s="2" t="s">
        <v>0</v>
      </c>
      <c r="MOH2" s="2"/>
      <c r="MOI2" s="2"/>
      <c r="MOJ2" s="2"/>
      <c r="MOK2" s="2"/>
      <c r="MOL2" s="2"/>
      <c r="MOM2" s="2"/>
      <c r="MON2" s="2"/>
      <c r="MOO2" s="2"/>
      <c r="MOP2" s="2"/>
      <c r="MOQ2" s="2"/>
      <c r="MOR2" s="2"/>
      <c r="MOS2" s="2"/>
      <c r="MOT2" s="2"/>
      <c r="MOU2" s="2"/>
      <c r="MOV2" s="2"/>
      <c r="MOW2" s="2" t="s">
        <v>0</v>
      </c>
      <c r="MOX2" s="2"/>
      <c r="MOY2" s="2"/>
      <c r="MOZ2" s="2"/>
      <c r="MPA2" s="2"/>
      <c r="MPB2" s="2"/>
      <c r="MPC2" s="2"/>
      <c r="MPD2" s="2"/>
      <c r="MPE2" s="2"/>
      <c r="MPF2" s="2"/>
      <c r="MPG2" s="2"/>
      <c r="MPH2" s="2"/>
      <c r="MPI2" s="2"/>
      <c r="MPJ2" s="2"/>
      <c r="MPK2" s="2"/>
      <c r="MPL2" s="2"/>
      <c r="MPM2" s="2" t="s">
        <v>0</v>
      </c>
      <c r="MPN2" s="2"/>
      <c r="MPO2" s="2"/>
      <c r="MPP2" s="2"/>
      <c r="MPQ2" s="2"/>
      <c r="MPR2" s="2"/>
      <c r="MPS2" s="2"/>
      <c r="MPT2" s="2"/>
      <c r="MPU2" s="2"/>
      <c r="MPV2" s="2"/>
      <c r="MPW2" s="2"/>
      <c r="MPX2" s="2"/>
      <c r="MPY2" s="2"/>
      <c r="MPZ2" s="2"/>
      <c r="MQA2" s="2"/>
      <c r="MQB2" s="2"/>
      <c r="MQC2" s="2" t="s">
        <v>0</v>
      </c>
      <c r="MQD2" s="2"/>
      <c r="MQE2" s="2"/>
      <c r="MQF2" s="2"/>
      <c r="MQG2" s="2"/>
      <c r="MQH2" s="2"/>
      <c r="MQI2" s="2"/>
      <c r="MQJ2" s="2"/>
      <c r="MQK2" s="2"/>
      <c r="MQL2" s="2"/>
      <c r="MQM2" s="2"/>
      <c r="MQN2" s="2"/>
      <c r="MQO2" s="2"/>
      <c r="MQP2" s="2"/>
      <c r="MQQ2" s="2"/>
      <c r="MQR2" s="2"/>
      <c r="MQS2" s="2" t="s">
        <v>0</v>
      </c>
      <c r="MQT2" s="2"/>
      <c r="MQU2" s="2"/>
      <c r="MQV2" s="2"/>
      <c r="MQW2" s="2"/>
      <c r="MQX2" s="2"/>
      <c r="MQY2" s="2"/>
      <c r="MQZ2" s="2"/>
      <c r="MRA2" s="2"/>
      <c r="MRB2" s="2"/>
      <c r="MRC2" s="2"/>
      <c r="MRD2" s="2"/>
      <c r="MRE2" s="2"/>
      <c r="MRF2" s="2"/>
      <c r="MRG2" s="2"/>
      <c r="MRH2" s="2"/>
      <c r="MRI2" s="2" t="s">
        <v>0</v>
      </c>
      <c r="MRJ2" s="2"/>
      <c r="MRK2" s="2"/>
      <c r="MRL2" s="2"/>
      <c r="MRM2" s="2"/>
      <c r="MRN2" s="2"/>
      <c r="MRO2" s="2"/>
      <c r="MRP2" s="2"/>
      <c r="MRQ2" s="2"/>
      <c r="MRR2" s="2"/>
      <c r="MRS2" s="2"/>
      <c r="MRT2" s="2"/>
      <c r="MRU2" s="2"/>
      <c r="MRV2" s="2"/>
      <c r="MRW2" s="2"/>
      <c r="MRX2" s="2"/>
      <c r="MRY2" s="2" t="s">
        <v>0</v>
      </c>
      <c r="MRZ2" s="2"/>
      <c r="MSA2" s="2"/>
      <c r="MSB2" s="2"/>
      <c r="MSC2" s="2"/>
      <c r="MSD2" s="2"/>
      <c r="MSE2" s="2"/>
      <c r="MSF2" s="2"/>
      <c r="MSG2" s="2"/>
      <c r="MSH2" s="2"/>
      <c r="MSI2" s="2"/>
      <c r="MSJ2" s="2"/>
      <c r="MSK2" s="2"/>
      <c r="MSL2" s="2"/>
      <c r="MSM2" s="2"/>
      <c r="MSN2" s="2"/>
      <c r="MSO2" s="2" t="s">
        <v>0</v>
      </c>
      <c r="MSP2" s="2"/>
      <c r="MSQ2" s="2"/>
      <c r="MSR2" s="2"/>
      <c r="MSS2" s="2"/>
      <c r="MST2" s="2"/>
      <c r="MSU2" s="2"/>
      <c r="MSV2" s="2"/>
      <c r="MSW2" s="2"/>
      <c r="MSX2" s="2"/>
      <c r="MSY2" s="2"/>
      <c r="MSZ2" s="2"/>
      <c r="MTA2" s="2"/>
      <c r="MTB2" s="2"/>
      <c r="MTC2" s="2"/>
      <c r="MTD2" s="2"/>
      <c r="MTE2" s="2" t="s">
        <v>0</v>
      </c>
      <c r="MTF2" s="2"/>
      <c r="MTG2" s="2"/>
      <c r="MTH2" s="2"/>
      <c r="MTI2" s="2"/>
      <c r="MTJ2" s="2"/>
      <c r="MTK2" s="2"/>
      <c r="MTL2" s="2"/>
      <c r="MTM2" s="2"/>
      <c r="MTN2" s="2"/>
      <c r="MTO2" s="2"/>
      <c r="MTP2" s="2"/>
      <c r="MTQ2" s="2"/>
      <c r="MTR2" s="2"/>
      <c r="MTS2" s="2"/>
      <c r="MTT2" s="2"/>
      <c r="MTU2" s="2" t="s">
        <v>0</v>
      </c>
      <c r="MTV2" s="2"/>
      <c r="MTW2" s="2"/>
      <c r="MTX2" s="2"/>
      <c r="MTY2" s="2"/>
      <c r="MTZ2" s="2"/>
      <c r="MUA2" s="2"/>
      <c r="MUB2" s="2"/>
      <c r="MUC2" s="2"/>
      <c r="MUD2" s="2"/>
      <c r="MUE2" s="2"/>
      <c r="MUF2" s="2"/>
      <c r="MUG2" s="2"/>
      <c r="MUH2" s="2"/>
      <c r="MUI2" s="2"/>
      <c r="MUJ2" s="2"/>
      <c r="MUK2" s="2" t="s">
        <v>0</v>
      </c>
      <c r="MUL2" s="2"/>
      <c r="MUM2" s="2"/>
      <c r="MUN2" s="2"/>
      <c r="MUO2" s="2"/>
      <c r="MUP2" s="2"/>
      <c r="MUQ2" s="2"/>
      <c r="MUR2" s="2"/>
      <c r="MUS2" s="2"/>
      <c r="MUT2" s="2"/>
      <c r="MUU2" s="2"/>
      <c r="MUV2" s="2"/>
      <c r="MUW2" s="2"/>
      <c r="MUX2" s="2"/>
      <c r="MUY2" s="2"/>
      <c r="MUZ2" s="2"/>
      <c r="MVA2" s="2" t="s">
        <v>0</v>
      </c>
      <c r="MVB2" s="2"/>
      <c r="MVC2" s="2"/>
      <c r="MVD2" s="2"/>
      <c r="MVE2" s="2"/>
      <c r="MVF2" s="2"/>
      <c r="MVG2" s="2"/>
      <c r="MVH2" s="2"/>
      <c r="MVI2" s="2"/>
      <c r="MVJ2" s="2"/>
      <c r="MVK2" s="2"/>
      <c r="MVL2" s="2"/>
      <c r="MVM2" s="2"/>
      <c r="MVN2" s="2"/>
      <c r="MVO2" s="2"/>
      <c r="MVP2" s="2"/>
      <c r="MVQ2" s="2" t="s">
        <v>0</v>
      </c>
      <c r="MVR2" s="2"/>
      <c r="MVS2" s="2"/>
      <c r="MVT2" s="2"/>
      <c r="MVU2" s="2"/>
      <c r="MVV2" s="2"/>
      <c r="MVW2" s="2"/>
      <c r="MVX2" s="2"/>
      <c r="MVY2" s="2"/>
      <c r="MVZ2" s="2"/>
      <c r="MWA2" s="2"/>
      <c r="MWB2" s="2"/>
      <c r="MWC2" s="2"/>
      <c r="MWD2" s="2"/>
      <c r="MWE2" s="2"/>
      <c r="MWF2" s="2"/>
      <c r="MWG2" s="2" t="s">
        <v>0</v>
      </c>
      <c r="MWH2" s="2"/>
      <c r="MWI2" s="2"/>
      <c r="MWJ2" s="2"/>
      <c r="MWK2" s="2"/>
      <c r="MWL2" s="2"/>
      <c r="MWM2" s="2"/>
      <c r="MWN2" s="2"/>
      <c r="MWO2" s="2"/>
      <c r="MWP2" s="2"/>
      <c r="MWQ2" s="2"/>
      <c r="MWR2" s="2"/>
      <c r="MWS2" s="2"/>
      <c r="MWT2" s="2"/>
      <c r="MWU2" s="2"/>
      <c r="MWV2" s="2"/>
      <c r="MWW2" s="2" t="s">
        <v>0</v>
      </c>
      <c r="MWX2" s="2"/>
      <c r="MWY2" s="2"/>
      <c r="MWZ2" s="2"/>
      <c r="MXA2" s="2"/>
      <c r="MXB2" s="2"/>
      <c r="MXC2" s="2"/>
      <c r="MXD2" s="2"/>
      <c r="MXE2" s="2"/>
      <c r="MXF2" s="2"/>
      <c r="MXG2" s="2"/>
      <c r="MXH2" s="2"/>
      <c r="MXI2" s="2"/>
      <c r="MXJ2" s="2"/>
      <c r="MXK2" s="2"/>
      <c r="MXL2" s="2"/>
      <c r="MXM2" s="2" t="s">
        <v>0</v>
      </c>
      <c r="MXN2" s="2"/>
      <c r="MXO2" s="2"/>
      <c r="MXP2" s="2"/>
      <c r="MXQ2" s="2"/>
      <c r="MXR2" s="2"/>
      <c r="MXS2" s="2"/>
      <c r="MXT2" s="2"/>
      <c r="MXU2" s="2"/>
      <c r="MXV2" s="2"/>
      <c r="MXW2" s="2"/>
      <c r="MXX2" s="2"/>
      <c r="MXY2" s="2"/>
      <c r="MXZ2" s="2"/>
      <c r="MYA2" s="2"/>
      <c r="MYB2" s="2"/>
      <c r="MYC2" s="2" t="s">
        <v>0</v>
      </c>
      <c r="MYD2" s="2"/>
      <c r="MYE2" s="2"/>
      <c r="MYF2" s="2"/>
      <c r="MYG2" s="2"/>
      <c r="MYH2" s="2"/>
      <c r="MYI2" s="2"/>
      <c r="MYJ2" s="2"/>
      <c r="MYK2" s="2"/>
      <c r="MYL2" s="2"/>
      <c r="MYM2" s="2"/>
      <c r="MYN2" s="2"/>
      <c r="MYO2" s="2"/>
      <c r="MYP2" s="2"/>
      <c r="MYQ2" s="2"/>
      <c r="MYR2" s="2"/>
      <c r="MYS2" s="2" t="s">
        <v>0</v>
      </c>
      <c r="MYT2" s="2"/>
      <c r="MYU2" s="2"/>
      <c r="MYV2" s="2"/>
      <c r="MYW2" s="2"/>
      <c r="MYX2" s="2"/>
      <c r="MYY2" s="2"/>
      <c r="MYZ2" s="2"/>
      <c r="MZA2" s="2"/>
      <c r="MZB2" s="2"/>
      <c r="MZC2" s="2"/>
      <c r="MZD2" s="2"/>
      <c r="MZE2" s="2"/>
      <c r="MZF2" s="2"/>
      <c r="MZG2" s="2"/>
      <c r="MZH2" s="2"/>
      <c r="MZI2" s="2" t="s">
        <v>0</v>
      </c>
      <c r="MZJ2" s="2"/>
      <c r="MZK2" s="2"/>
      <c r="MZL2" s="2"/>
      <c r="MZM2" s="2"/>
      <c r="MZN2" s="2"/>
      <c r="MZO2" s="2"/>
      <c r="MZP2" s="2"/>
      <c r="MZQ2" s="2"/>
      <c r="MZR2" s="2"/>
      <c r="MZS2" s="2"/>
      <c r="MZT2" s="2"/>
      <c r="MZU2" s="2"/>
      <c r="MZV2" s="2"/>
      <c r="MZW2" s="2"/>
      <c r="MZX2" s="2"/>
      <c r="MZY2" s="2" t="s">
        <v>0</v>
      </c>
      <c r="MZZ2" s="2"/>
      <c r="NAA2" s="2"/>
      <c r="NAB2" s="2"/>
      <c r="NAC2" s="2"/>
      <c r="NAD2" s="2"/>
      <c r="NAE2" s="2"/>
      <c r="NAF2" s="2"/>
      <c r="NAG2" s="2"/>
      <c r="NAH2" s="2"/>
      <c r="NAI2" s="2"/>
      <c r="NAJ2" s="2"/>
      <c r="NAK2" s="2"/>
      <c r="NAL2" s="2"/>
      <c r="NAM2" s="2"/>
      <c r="NAN2" s="2"/>
      <c r="NAO2" s="2" t="s">
        <v>0</v>
      </c>
      <c r="NAP2" s="2"/>
      <c r="NAQ2" s="2"/>
      <c r="NAR2" s="2"/>
      <c r="NAS2" s="2"/>
      <c r="NAT2" s="2"/>
      <c r="NAU2" s="2"/>
      <c r="NAV2" s="2"/>
      <c r="NAW2" s="2"/>
      <c r="NAX2" s="2"/>
      <c r="NAY2" s="2"/>
      <c r="NAZ2" s="2"/>
      <c r="NBA2" s="2"/>
      <c r="NBB2" s="2"/>
      <c r="NBC2" s="2"/>
      <c r="NBD2" s="2"/>
      <c r="NBE2" s="2" t="s">
        <v>0</v>
      </c>
      <c r="NBF2" s="2"/>
      <c r="NBG2" s="2"/>
      <c r="NBH2" s="2"/>
      <c r="NBI2" s="2"/>
      <c r="NBJ2" s="2"/>
      <c r="NBK2" s="2"/>
      <c r="NBL2" s="2"/>
      <c r="NBM2" s="2"/>
      <c r="NBN2" s="2"/>
      <c r="NBO2" s="2"/>
      <c r="NBP2" s="2"/>
      <c r="NBQ2" s="2"/>
      <c r="NBR2" s="2"/>
      <c r="NBS2" s="2"/>
      <c r="NBT2" s="2"/>
      <c r="NBU2" s="2" t="s">
        <v>0</v>
      </c>
      <c r="NBV2" s="2"/>
      <c r="NBW2" s="2"/>
      <c r="NBX2" s="2"/>
      <c r="NBY2" s="2"/>
      <c r="NBZ2" s="2"/>
      <c r="NCA2" s="2"/>
      <c r="NCB2" s="2"/>
      <c r="NCC2" s="2"/>
      <c r="NCD2" s="2"/>
      <c r="NCE2" s="2"/>
      <c r="NCF2" s="2"/>
      <c r="NCG2" s="2"/>
      <c r="NCH2" s="2"/>
      <c r="NCI2" s="2"/>
      <c r="NCJ2" s="2"/>
      <c r="NCK2" s="2" t="s">
        <v>0</v>
      </c>
      <c r="NCL2" s="2"/>
      <c r="NCM2" s="2"/>
      <c r="NCN2" s="2"/>
      <c r="NCO2" s="2"/>
      <c r="NCP2" s="2"/>
      <c r="NCQ2" s="2"/>
      <c r="NCR2" s="2"/>
      <c r="NCS2" s="2"/>
      <c r="NCT2" s="2"/>
      <c r="NCU2" s="2"/>
      <c r="NCV2" s="2"/>
      <c r="NCW2" s="2"/>
      <c r="NCX2" s="2"/>
      <c r="NCY2" s="2"/>
      <c r="NCZ2" s="2"/>
      <c r="NDA2" s="2" t="s">
        <v>0</v>
      </c>
      <c r="NDB2" s="2"/>
      <c r="NDC2" s="2"/>
      <c r="NDD2" s="2"/>
      <c r="NDE2" s="2"/>
      <c r="NDF2" s="2"/>
      <c r="NDG2" s="2"/>
      <c r="NDH2" s="2"/>
      <c r="NDI2" s="2"/>
      <c r="NDJ2" s="2"/>
      <c r="NDK2" s="2"/>
      <c r="NDL2" s="2"/>
      <c r="NDM2" s="2"/>
      <c r="NDN2" s="2"/>
      <c r="NDO2" s="2"/>
      <c r="NDP2" s="2"/>
      <c r="NDQ2" s="2" t="s">
        <v>0</v>
      </c>
      <c r="NDR2" s="2"/>
      <c r="NDS2" s="2"/>
      <c r="NDT2" s="2"/>
      <c r="NDU2" s="2"/>
      <c r="NDV2" s="2"/>
      <c r="NDW2" s="2"/>
      <c r="NDX2" s="2"/>
      <c r="NDY2" s="2"/>
      <c r="NDZ2" s="2"/>
      <c r="NEA2" s="2"/>
      <c r="NEB2" s="2"/>
      <c r="NEC2" s="2"/>
      <c r="NED2" s="2"/>
      <c r="NEE2" s="2"/>
      <c r="NEF2" s="2"/>
      <c r="NEG2" s="2" t="s">
        <v>0</v>
      </c>
      <c r="NEH2" s="2"/>
      <c r="NEI2" s="2"/>
      <c r="NEJ2" s="2"/>
      <c r="NEK2" s="2"/>
      <c r="NEL2" s="2"/>
      <c r="NEM2" s="2"/>
      <c r="NEN2" s="2"/>
      <c r="NEO2" s="2"/>
      <c r="NEP2" s="2"/>
      <c r="NEQ2" s="2"/>
      <c r="NER2" s="2"/>
      <c r="NES2" s="2"/>
      <c r="NET2" s="2"/>
      <c r="NEU2" s="2"/>
      <c r="NEV2" s="2"/>
      <c r="NEW2" s="2" t="s">
        <v>0</v>
      </c>
      <c r="NEX2" s="2"/>
      <c r="NEY2" s="2"/>
      <c r="NEZ2" s="2"/>
      <c r="NFA2" s="2"/>
      <c r="NFB2" s="2"/>
      <c r="NFC2" s="2"/>
      <c r="NFD2" s="2"/>
      <c r="NFE2" s="2"/>
      <c r="NFF2" s="2"/>
      <c r="NFG2" s="2"/>
      <c r="NFH2" s="2"/>
      <c r="NFI2" s="2"/>
      <c r="NFJ2" s="2"/>
      <c r="NFK2" s="2"/>
      <c r="NFL2" s="2"/>
      <c r="NFM2" s="2" t="s">
        <v>0</v>
      </c>
      <c r="NFN2" s="2"/>
      <c r="NFO2" s="2"/>
      <c r="NFP2" s="2"/>
      <c r="NFQ2" s="2"/>
      <c r="NFR2" s="2"/>
      <c r="NFS2" s="2"/>
      <c r="NFT2" s="2"/>
      <c r="NFU2" s="2"/>
      <c r="NFV2" s="2"/>
      <c r="NFW2" s="2"/>
      <c r="NFX2" s="2"/>
      <c r="NFY2" s="2"/>
      <c r="NFZ2" s="2"/>
      <c r="NGA2" s="2"/>
      <c r="NGB2" s="2"/>
      <c r="NGC2" s="2" t="s">
        <v>0</v>
      </c>
      <c r="NGD2" s="2"/>
      <c r="NGE2" s="2"/>
      <c r="NGF2" s="2"/>
      <c r="NGG2" s="2"/>
      <c r="NGH2" s="2"/>
      <c r="NGI2" s="2"/>
      <c r="NGJ2" s="2"/>
      <c r="NGK2" s="2"/>
      <c r="NGL2" s="2"/>
      <c r="NGM2" s="2"/>
      <c r="NGN2" s="2"/>
      <c r="NGO2" s="2"/>
      <c r="NGP2" s="2"/>
      <c r="NGQ2" s="2"/>
      <c r="NGR2" s="2"/>
      <c r="NGS2" s="2" t="s">
        <v>0</v>
      </c>
      <c r="NGT2" s="2"/>
      <c r="NGU2" s="2"/>
      <c r="NGV2" s="2"/>
      <c r="NGW2" s="2"/>
      <c r="NGX2" s="2"/>
      <c r="NGY2" s="2"/>
      <c r="NGZ2" s="2"/>
      <c r="NHA2" s="2"/>
      <c r="NHB2" s="2"/>
      <c r="NHC2" s="2"/>
      <c r="NHD2" s="2"/>
      <c r="NHE2" s="2"/>
      <c r="NHF2" s="2"/>
      <c r="NHG2" s="2"/>
      <c r="NHH2" s="2"/>
      <c r="NHI2" s="2" t="s">
        <v>0</v>
      </c>
      <c r="NHJ2" s="2"/>
      <c r="NHK2" s="2"/>
      <c r="NHL2" s="2"/>
      <c r="NHM2" s="2"/>
      <c r="NHN2" s="2"/>
      <c r="NHO2" s="2"/>
      <c r="NHP2" s="2"/>
      <c r="NHQ2" s="2"/>
      <c r="NHR2" s="2"/>
      <c r="NHS2" s="2"/>
      <c r="NHT2" s="2"/>
      <c r="NHU2" s="2"/>
      <c r="NHV2" s="2"/>
      <c r="NHW2" s="2"/>
      <c r="NHX2" s="2"/>
      <c r="NHY2" s="2" t="s">
        <v>0</v>
      </c>
      <c r="NHZ2" s="2"/>
      <c r="NIA2" s="2"/>
      <c r="NIB2" s="2"/>
      <c r="NIC2" s="2"/>
      <c r="NID2" s="2"/>
      <c r="NIE2" s="2"/>
      <c r="NIF2" s="2"/>
      <c r="NIG2" s="2"/>
      <c r="NIH2" s="2"/>
      <c r="NII2" s="2"/>
      <c r="NIJ2" s="2"/>
      <c r="NIK2" s="2"/>
      <c r="NIL2" s="2"/>
      <c r="NIM2" s="2"/>
      <c r="NIN2" s="2"/>
      <c r="NIO2" s="2" t="s">
        <v>0</v>
      </c>
      <c r="NIP2" s="2"/>
      <c r="NIQ2" s="2"/>
      <c r="NIR2" s="2"/>
      <c r="NIS2" s="2"/>
      <c r="NIT2" s="2"/>
      <c r="NIU2" s="2"/>
      <c r="NIV2" s="2"/>
      <c r="NIW2" s="2"/>
      <c r="NIX2" s="2"/>
      <c r="NIY2" s="2"/>
      <c r="NIZ2" s="2"/>
      <c r="NJA2" s="2"/>
      <c r="NJB2" s="2"/>
      <c r="NJC2" s="2"/>
      <c r="NJD2" s="2"/>
      <c r="NJE2" s="2" t="s">
        <v>0</v>
      </c>
      <c r="NJF2" s="2"/>
      <c r="NJG2" s="2"/>
      <c r="NJH2" s="2"/>
      <c r="NJI2" s="2"/>
      <c r="NJJ2" s="2"/>
      <c r="NJK2" s="2"/>
      <c r="NJL2" s="2"/>
      <c r="NJM2" s="2"/>
      <c r="NJN2" s="2"/>
      <c r="NJO2" s="2"/>
      <c r="NJP2" s="2"/>
      <c r="NJQ2" s="2"/>
      <c r="NJR2" s="2"/>
      <c r="NJS2" s="2"/>
      <c r="NJT2" s="2"/>
      <c r="NJU2" s="2" t="s">
        <v>0</v>
      </c>
      <c r="NJV2" s="2"/>
      <c r="NJW2" s="2"/>
      <c r="NJX2" s="2"/>
      <c r="NJY2" s="2"/>
      <c r="NJZ2" s="2"/>
      <c r="NKA2" s="2"/>
      <c r="NKB2" s="2"/>
      <c r="NKC2" s="2"/>
      <c r="NKD2" s="2"/>
      <c r="NKE2" s="2"/>
      <c r="NKF2" s="2"/>
      <c r="NKG2" s="2"/>
      <c r="NKH2" s="2"/>
      <c r="NKI2" s="2"/>
      <c r="NKJ2" s="2"/>
      <c r="NKK2" s="2" t="s">
        <v>0</v>
      </c>
      <c r="NKL2" s="2"/>
      <c r="NKM2" s="2"/>
      <c r="NKN2" s="2"/>
      <c r="NKO2" s="2"/>
      <c r="NKP2" s="2"/>
      <c r="NKQ2" s="2"/>
      <c r="NKR2" s="2"/>
      <c r="NKS2" s="2"/>
      <c r="NKT2" s="2"/>
      <c r="NKU2" s="2"/>
      <c r="NKV2" s="2"/>
      <c r="NKW2" s="2"/>
      <c r="NKX2" s="2"/>
      <c r="NKY2" s="2"/>
      <c r="NKZ2" s="2"/>
      <c r="NLA2" s="2" t="s">
        <v>0</v>
      </c>
      <c r="NLB2" s="2"/>
      <c r="NLC2" s="2"/>
      <c r="NLD2" s="2"/>
      <c r="NLE2" s="2"/>
      <c r="NLF2" s="2"/>
      <c r="NLG2" s="2"/>
      <c r="NLH2" s="2"/>
      <c r="NLI2" s="2"/>
      <c r="NLJ2" s="2"/>
      <c r="NLK2" s="2"/>
      <c r="NLL2" s="2"/>
      <c r="NLM2" s="2"/>
      <c r="NLN2" s="2"/>
      <c r="NLO2" s="2"/>
      <c r="NLP2" s="2"/>
      <c r="NLQ2" s="2" t="s">
        <v>0</v>
      </c>
      <c r="NLR2" s="2"/>
      <c r="NLS2" s="2"/>
      <c r="NLT2" s="2"/>
      <c r="NLU2" s="2"/>
      <c r="NLV2" s="2"/>
      <c r="NLW2" s="2"/>
      <c r="NLX2" s="2"/>
      <c r="NLY2" s="2"/>
      <c r="NLZ2" s="2"/>
      <c r="NMA2" s="2"/>
      <c r="NMB2" s="2"/>
      <c r="NMC2" s="2"/>
      <c r="NMD2" s="2"/>
      <c r="NME2" s="2"/>
      <c r="NMF2" s="2"/>
      <c r="NMG2" s="2" t="s">
        <v>0</v>
      </c>
      <c r="NMH2" s="2"/>
      <c r="NMI2" s="2"/>
      <c r="NMJ2" s="2"/>
      <c r="NMK2" s="2"/>
      <c r="NML2" s="2"/>
      <c r="NMM2" s="2"/>
      <c r="NMN2" s="2"/>
      <c r="NMO2" s="2"/>
      <c r="NMP2" s="2"/>
      <c r="NMQ2" s="2"/>
      <c r="NMR2" s="2"/>
      <c r="NMS2" s="2"/>
      <c r="NMT2" s="2"/>
      <c r="NMU2" s="2"/>
      <c r="NMV2" s="2"/>
      <c r="NMW2" s="2" t="s">
        <v>0</v>
      </c>
      <c r="NMX2" s="2"/>
      <c r="NMY2" s="2"/>
      <c r="NMZ2" s="2"/>
      <c r="NNA2" s="2"/>
      <c r="NNB2" s="2"/>
      <c r="NNC2" s="2"/>
      <c r="NND2" s="2"/>
      <c r="NNE2" s="2"/>
      <c r="NNF2" s="2"/>
      <c r="NNG2" s="2"/>
      <c r="NNH2" s="2"/>
      <c r="NNI2" s="2"/>
      <c r="NNJ2" s="2"/>
      <c r="NNK2" s="2"/>
      <c r="NNL2" s="2"/>
      <c r="NNM2" s="2" t="s">
        <v>0</v>
      </c>
      <c r="NNN2" s="2"/>
      <c r="NNO2" s="2"/>
      <c r="NNP2" s="2"/>
      <c r="NNQ2" s="2"/>
      <c r="NNR2" s="2"/>
      <c r="NNS2" s="2"/>
      <c r="NNT2" s="2"/>
      <c r="NNU2" s="2"/>
      <c r="NNV2" s="2"/>
      <c r="NNW2" s="2"/>
      <c r="NNX2" s="2"/>
      <c r="NNY2" s="2"/>
      <c r="NNZ2" s="2"/>
      <c r="NOA2" s="2"/>
      <c r="NOB2" s="2"/>
      <c r="NOC2" s="2" t="s">
        <v>0</v>
      </c>
      <c r="NOD2" s="2"/>
      <c r="NOE2" s="2"/>
      <c r="NOF2" s="2"/>
      <c r="NOG2" s="2"/>
      <c r="NOH2" s="2"/>
      <c r="NOI2" s="2"/>
      <c r="NOJ2" s="2"/>
      <c r="NOK2" s="2"/>
      <c r="NOL2" s="2"/>
      <c r="NOM2" s="2"/>
      <c r="NON2" s="2"/>
      <c r="NOO2" s="2"/>
      <c r="NOP2" s="2"/>
      <c r="NOQ2" s="2"/>
      <c r="NOR2" s="2"/>
      <c r="NOS2" s="2" t="s">
        <v>0</v>
      </c>
      <c r="NOT2" s="2"/>
      <c r="NOU2" s="2"/>
      <c r="NOV2" s="2"/>
      <c r="NOW2" s="2"/>
      <c r="NOX2" s="2"/>
      <c r="NOY2" s="2"/>
      <c r="NOZ2" s="2"/>
      <c r="NPA2" s="2"/>
      <c r="NPB2" s="2"/>
      <c r="NPC2" s="2"/>
      <c r="NPD2" s="2"/>
      <c r="NPE2" s="2"/>
      <c r="NPF2" s="2"/>
      <c r="NPG2" s="2"/>
      <c r="NPH2" s="2"/>
      <c r="NPI2" s="2" t="s">
        <v>0</v>
      </c>
      <c r="NPJ2" s="2"/>
      <c r="NPK2" s="2"/>
      <c r="NPL2" s="2"/>
      <c r="NPM2" s="2"/>
      <c r="NPN2" s="2"/>
      <c r="NPO2" s="2"/>
      <c r="NPP2" s="2"/>
      <c r="NPQ2" s="2"/>
      <c r="NPR2" s="2"/>
      <c r="NPS2" s="2"/>
      <c r="NPT2" s="2"/>
      <c r="NPU2" s="2"/>
      <c r="NPV2" s="2"/>
      <c r="NPW2" s="2"/>
      <c r="NPX2" s="2"/>
      <c r="NPY2" s="2" t="s">
        <v>0</v>
      </c>
      <c r="NPZ2" s="2"/>
      <c r="NQA2" s="2"/>
      <c r="NQB2" s="2"/>
      <c r="NQC2" s="2"/>
      <c r="NQD2" s="2"/>
      <c r="NQE2" s="2"/>
      <c r="NQF2" s="2"/>
      <c r="NQG2" s="2"/>
      <c r="NQH2" s="2"/>
      <c r="NQI2" s="2"/>
      <c r="NQJ2" s="2"/>
      <c r="NQK2" s="2"/>
      <c r="NQL2" s="2"/>
      <c r="NQM2" s="2"/>
      <c r="NQN2" s="2"/>
      <c r="NQO2" s="2" t="s">
        <v>0</v>
      </c>
      <c r="NQP2" s="2"/>
      <c r="NQQ2" s="2"/>
      <c r="NQR2" s="2"/>
      <c r="NQS2" s="2"/>
      <c r="NQT2" s="2"/>
      <c r="NQU2" s="2"/>
      <c r="NQV2" s="2"/>
      <c r="NQW2" s="2"/>
      <c r="NQX2" s="2"/>
      <c r="NQY2" s="2"/>
      <c r="NQZ2" s="2"/>
      <c r="NRA2" s="2"/>
      <c r="NRB2" s="2"/>
      <c r="NRC2" s="2"/>
      <c r="NRD2" s="2"/>
      <c r="NRE2" s="2" t="s">
        <v>0</v>
      </c>
      <c r="NRF2" s="2"/>
      <c r="NRG2" s="2"/>
      <c r="NRH2" s="2"/>
      <c r="NRI2" s="2"/>
      <c r="NRJ2" s="2"/>
      <c r="NRK2" s="2"/>
      <c r="NRL2" s="2"/>
      <c r="NRM2" s="2"/>
      <c r="NRN2" s="2"/>
      <c r="NRO2" s="2"/>
      <c r="NRP2" s="2"/>
      <c r="NRQ2" s="2"/>
      <c r="NRR2" s="2"/>
      <c r="NRS2" s="2"/>
      <c r="NRT2" s="2"/>
      <c r="NRU2" s="2" t="s">
        <v>0</v>
      </c>
      <c r="NRV2" s="2"/>
      <c r="NRW2" s="2"/>
      <c r="NRX2" s="2"/>
      <c r="NRY2" s="2"/>
      <c r="NRZ2" s="2"/>
      <c r="NSA2" s="2"/>
      <c r="NSB2" s="2"/>
      <c r="NSC2" s="2"/>
      <c r="NSD2" s="2"/>
      <c r="NSE2" s="2"/>
      <c r="NSF2" s="2"/>
      <c r="NSG2" s="2"/>
      <c r="NSH2" s="2"/>
      <c r="NSI2" s="2"/>
      <c r="NSJ2" s="2"/>
      <c r="NSK2" s="2" t="s">
        <v>0</v>
      </c>
      <c r="NSL2" s="2"/>
      <c r="NSM2" s="2"/>
      <c r="NSN2" s="2"/>
      <c r="NSO2" s="2"/>
      <c r="NSP2" s="2"/>
      <c r="NSQ2" s="2"/>
      <c r="NSR2" s="2"/>
      <c r="NSS2" s="2"/>
      <c r="NST2" s="2"/>
      <c r="NSU2" s="2"/>
      <c r="NSV2" s="2"/>
      <c r="NSW2" s="2"/>
      <c r="NSX2" s="2"/>
      <c r="NSY2" s="2"/>
      <c r="NSZ2" s="2"/>
      <c r="NTA2" s="2" t="s">
        <v>0</v>
      </c>
      <c r="NTB2" s="2"/>
      <c r="NTC2" s="2"/>
      <c r="NTD2" s="2"/>
      <c r="NTE2" s="2"/>
      <c r="NTF2" s="2"/>
      <c r="NTG2" s="2"/>
      <c r="NTH2" s="2"/>
      <c r="NTI2" s="2"/>
      <c r="NTJ2" s="2"/>
      <c r="NTK2" s="2"/>
      <c r="NTL2" s="2"/>
      <c r="NTM2" s="2"/>
      <c r="NTN2" s="2"/>
      <c r="NTO2" s="2"/>
      <c r="NTP2" s="2"/>
      <c r="NTQ2" s="2" t="s">
        <v>0</v>
      </c>
      <c r="NTR2" s="2"/>
      <c r="NTS2" s="2"/>
      <c r="NTT2" s="2"/>
      <c r="NTU2" s="2"/>
      <c r="NTV2" s="2"/>
      <c r="NTW2" s="2"/>
      <c r="NTX2" s="2"/>
      <c r="NTY2" s="2"/>
      <c r="NTZ2" s="2"/>
      <c r="NUA2" s="2"/>
      <c r="NUB2" s="2"/>
      <c r="NUC2" s="2"/>
      <c r="NUD2" s="2"/>
      <c r="NUE2" s="2"/>
      <c r="NUF2" s="2"/>
      <c r="NUG2" s="2" t="s">
        <v>0</v>
      </c>
      <c r="NUH2" s="2"/>
      <c r="NUI2" s="2"/>
      <c r="NUJ2" s="2"/>
      <c r="NUK2" s="2"/>
      <c r="NUL2" s="2"/>
      <c r="NUM2" s="2"/>
      <c r="NUN2" s="2"/>
      <c r="NUO2" s="2"/>
      <c r="NUP2" s="2"/>
      <c r="NUQ2" s="2"/>
      <c r="NUR2" s="2"/>
      <c r="NUS2" s="2"/>
      <c r="NUT2" s="2"/>
      <c r="NUU2" s="2"/>
      <c r="NUV2" s="2"/>
      <c r="NUW2" s="2" t="s">
        <v>0</v>
      </c>
      <c r="NUX2" s="2"/>
      <c r="NUY2" s="2"/>
      <c r="NUZ2" s="2"/>
      <c r="NVA2" s="2"/>
      <c r="NVB2" s="2"/>
      <c r="NVC2" s="2"/>
      <c r="NVD2" s="2"/>
      <c r="NVE2" s="2"/>
      <c r="NVF2" s="2"/>
      <c r="NVG2" s="2"/>
      <c r="NVH2" s="2"/>
      <c r="NVI2" s="2"/>
      <c r="NVJ2" s="2"/>
      <c r="NVK2" s="2"/>
      <c r="NVL2" s="2"/>
      <c r="NVM2" s="2" t="s">
        <v>0</v>
      </c>
      <c r="NVN2" s="2"/>
      <c r="NVO2" s="2"/>
      <c r="NVP2" s="2"/>
      <c r="NVQ2" s="2"/>
      <c r="NVR2" s="2"/>
      <c r="NVS2" s="2"/>
      <c r="NVT2" s="2"/>
      <c r="NVU2" s="2"/>
      <c r="NVV2" s="2"/>
      <c r="NVW2" s="2"/>
      <c r="NVX2" s="2"/>
      <c r="NVY2" s="2"/>
      <c r="NVZ2" s="2"/>
      <c r="NWA2" s="2"/>
      <c r="NWB2" s="2"/>
      <c r="NWC2" s="2" t="s">
        <v>0</v>
      </c>
      <c r="NWD2" s="2"/>
      <c r="NWE2" s="2"/>
      <c r="NWF2" s="2"/>
      <c r="NWG2" s="2"/>
      <c r="NWH2" s="2"/>
      <c r="NWI2" s="2"/>
      <c r="NWJ2" s="2"/>
      <c r="NWK2" s="2"/>
      <c r="NWL2" s="2"/>
      <c r="NWM2" s="2"/>
      <c r="NWN2" s="2"/>
      <c r="NWO2" s="2"/>
      <c r="NWP2" s="2"/>
      <c r="NWQ2" s="2"/>
      <c r="NWR2" s="2"/>
      <c r="NWS2" s="2" t="s">
        <v>0</v>
      </c>
      <c r="NWT2" s="2"/>
      <c r="NWU2" s="2"/>
      <c r="NWV2" s="2"/>
      <c r="NWW2" s="2"/>
      <c r="NWX2" s="2"/>
      <c r="NWY2" s="2"/>
      <c r="NWZ2" s="2"/>
      <c r="NXA2" s="2"/>
      <c r="NXB2" s="2"/>
      <c r="NXC2" s="2"/>
      <c r="NXD2" s="2"/>
      <c r="NXE2" s="2"/>
      <c r="NXF2" s="2"/>
      <c r="NXG2" s="2"/>
      <c r="NXH2" s="2"/>
      <c r="NXI2" s="2" t="s">
        <v>0</v>
      </c>
      <c r="NXJ2" s="2"/>
      <c r="NXK2" s="2"/>
      <c r="NXL2" s="2"/>
      <c r="NXM2" s="2"/>
      <c r="NXN2" s="2"/>
      <c r="NXO2" s="2"/>
      <c r="NXP2" s="2"/>
      <c r="NXQ2" s="2"/>
      <c r="NXR2" s="2"/>
      <c r="NXS2" s="2"/>
      <c r="NXT2" s="2"/>
      <c r="NXU2" s="2"/>
      <c r="NXV2" s="2"/>
      <c r="NXW2" s="2"/>
      <c r="NXX2" s="2"/>
      <c r="NXY2" s="2" t="s">
        <v>0</v>
      </c>
      <c r="NXZ2" s="2"/>
      <c r="NYA2" s="2"/>
      <c r="NYB2" s="2"/>
      <c r="NYC2" s="2"/>
      <c r="NYD2" s="2"/>
      <c r="NYE2" s="2"/>
      <c r="NYF2" s="2"/>
      <c r="NYG2" s="2"/>
      <c r="NYH2" s="2"/>
      <c r="NYI2" s="2"/>
      <c r="NYJ2" s="2"/>
      <c r="NYK2" s="2"/>
      <c r="NYL2" s="2"/>
      <c r="NYM2" s="2"/>
      <c r="NYN2" s="2"/>
      <c r="NYO2" s="2" t="s">
        <v>0</v>
      </c>
      <c r="NYP2" s="2"/>
      <c r="NYQ2" s="2"/>
      <c r="NYR2" s="2"/>
      <c r="NYS2" s="2"/>
      <c r="NYT2" s="2"/>
      <c r="NYU2" s="2"/>
      <c r="NYV2" s="2"/>
      <c r="NYW2" s="2"/>
      <c r="NYX2" s="2"/>
      <c r="NYY2" s="2"/>
      <c r="NYZ2" s="2"/>
      <c r="NZA2" s="2"/>
      <c r="NZB2" s="2"/>
      <c r="NZC2" s="2"/>
      <c r="NZD2" s="2"/>
      <c r="NZE2" s="2" t="s">
        <v>0</v>
      </c>
      <c r="NZF2" s="2"/>
      <c r="NZG2" s="2"/>
      <c r="NZH2" s="2"/>
      <c r="NZI2" s="2"/>
      <c r="NZJ2" s="2"/>
      <c r="NZK2" s="2"/>
      <c r="NZL2" s="2"/>
      <c r="NZM2" s="2"/>
      <c r="NZN2" s="2"/>
      <c r="NZO2" s="2"/>
      <c r="NZP2" s="2"/>
      <c r="NZQ2" s="2"/>
      <c r="NZR2" s="2"/>
      <c r="NZS2" s="2"/>
      <c r="NZT2" s="2"/>
      <c r="NZU2" s="2" t="s">
        <v>0</v>
      </c>
      <c r="NZV2" s="2"/>
      <c r="NZW2" s="2"/>
      <c r="NZX2" s="2"/>
      <c r="NZY2" s="2"/>
      <c r="NZZ2" s="2"/>
      <c r="OAA2" s="2"/>
      <c r="OAB2" s="2"/>
      <c r="OAC2" s="2"/>
      <c r="OAD2" s="2"/>
      <c r="OAE2" s="2"/>
      <c r="OAF2" s="2"/>
      <c r="OAG2" s="2"/>
      <c r="OAH2" s="2"/>
      <c r="OAI2" s="2"/>
      <c r="OAJ2" s="2"/>
      <c r="OAK2" s="2" t="s">
        <v>0</v>
      </c>
      <c r="OAL2" s="2"/>
      <c r="OAM2" s="2"/>
      <c r="OAN2" s="2"/>
      <c r="OAO2" s="2"/>
      <c r="OAP2" s="2"/>
      <c r="OAQ2" s="2"/>
      <c r="OAR2" s="2"/>
      <c r="OAS2" s="2"/>
      <c r="OAT2" s="2"/>
      <c r="OAU2" s="2"/>
      <c r="OAV2" s="2"/>
      <c r="OAW2" s="2"/>
      <c r="OAX2" s="2"/>
      <c r="OAY2" s="2"/>
      <c r="OAZ2" s="2"/>
      <c r="OBA2" s="2" t="s">
        <v>0</v>
      </c>
      <c r="OBB2" s="2"/>
      <c r="OBC2" s="2"/>
      <c r="OBD2" s="2"/>
      <c r="OBE2" s="2"/>
      <c r="OBF2" s="2"/>
      <c r="OBG2" s="2"/>
      <c r="OBH2" s="2"/>
      <c r="OBI2" s="2"/>
      <c r="OBJ2" s="2"/>
      <c r="OBK2" s="2"/>
      <c r="OBL2" s="2"/>
      <c r="OBM2" s="2"/>
      <c r="OBN2" s="2"/>
      <c r="OBO2" s="2"/>
      <c r="OBP2" s="2"/>
      <c r="OBQ2" s="2" t="s">
        <v>0</v>
      </c>
      <c r="OBR2" s="2"/>
      <c r="OBS2" s="2"/>
      <c r="OBT2" s="2"/>
      <c r="OBU2" s="2"/>
      <c r="OBV2" s="2"/>
      <c r="OBW2" s="2"/>
      <c r="OBX2" s="2"/>
      <c r="OBY2" s="2"/>
      <c r="OBZ2" s="2"/>
      <c r="OCA2" s="2"/>
      <c r="OCB2" s="2"/>
      <c r="OCC2" s="2"/>
      <c r="OCD2" s="2"/>
      <c r="OCE2" s="2"/>
      <c r="OCF2" s="2"/>
      <c r="OCG2" s="2" t="s">
        <v>0</v>
      </c>
      <c r="OCH2" s="2"/>
      <c r="OCI2" s="2"/>
      <c r="OCJ2" s="2"/>
      <c r="OCK2" s="2"/>
      <c r="OCL2" s="2"/>
      <c r="OCM2" s="2"/>
      <c r="OCN2" s="2"/>
      <c r="OCO2" s="2"/>
      <c r="OCP2" s="2"/>
      <c r="OCQ2" s="2"/>
      <c r="OCR2" s="2"/>
      <c r="OCS2" s="2"/>
      <c r="OCT2" s="2"/>
      <c r="OCU2" s="2"/>
      <c r="OCV2" s="2"/>
      <c r="OCW2" s="2" t="s">
        <v>0</v>
      </c>
      <c r="OCX2" s="2"/>
      <c r="OCY2" s="2"/>
      <c r="OCZ2" s="2"/>
      <c r="ODA2" s="2"/>
      <c r="ODB2" s="2"/>
      <c r="ODC2" s="2"/>
      <c r="ODD2" s="2"/>
      <c r="ODE2" s="2"/>
      <c r="ODF2" s="2"/>
      <c r="ODG2" s="2"/>
      <c r="ODH2" s="2"/>
      <c r="ODI2" s="2"/>
      <c r="ODJ2" s="2"/>
      <c r="ODK2" s="2"/>
      <c r="ODL2" s="2"/>
      <c r="ODM2" s="2" t="s">
        <v>0</v>
      </c>
      <c r="ODN2" s="2"/>
      <c r="ODO2" s="2"/>
      <c r="ODP2" s="2"/>
      <c r="ODQ2" s="2"/>
      <c r="ODR2" s="2"/>
      <c r="ODS2" s="2"/>
      <c r="ODT2" s="2"/>
      <c r="ODU2" s="2"/>
      <c r="ODV2" s="2"/>
      <c r="ODW2" s="2"/>
      <c r="ODX2" s="2"/>
      <c r="ODY2" s="2"/>
      <c r="ODZ2" s="2"/>
      <c r="OEA2" s="2"/>
      <c r="OEB2" s="2"/>
      <c r="OEC2" s="2" t="s">
        <v>0</v>
      </c>
      <c r="OED2" s="2"/>
      <c r="OEE2" s="2"/>
      <c r="OEF2" s="2"/>
      <c r="OEG2" s="2"/>
      <c r="OEH2" s="2"/>
      <c r="OEI2" s="2"/>
      <c r="OEJ2" s="2"/>
      <c r="OEK2" s="2"/>
      <c r="OEL2" s="2"/>
      <c r="OEM2" s="2"/>
      <c r="OEN2" s="2"/>
      <c r="OEO2" s="2"/>
      <c r="OEP2" s="2"/>
      <c r="OEQ2" s="2"/>
      <c r="OER2" s="2"/>
      <c r="OES2" s="2" t="s">
        <v>0</v>
      </c>
      <c r="OET2" s="2"/>
      <c r="OEU2" s="2"/>
      <c r="OEV2" s="2"/>
      <c r="OEW2" s="2"/>
      <c r="OEX2" s="2"/>
      <c r="OEY2" s="2"/>
      <c r="OEZ2" s="2"/>
      <c r="OFA2" s="2"/>
      <c r="OFB2" s="2"/>
      <c r="OFC2" s="2"/>
      <c r="OFD2" s="2"/>
      <c r="OFE2" s="2"/>
      <c r="OFF2" s="2"/>
      <c r="OFG2" s="2"/>
      <c r="OFH2" s="2"/>
      <c r="OFI2" s="2" t="s">
        <v>0</v>
      </c>
      <c r="OFJ2" s="2"/>
      <c r="OFK2" s="2"/>
      <c r="OFL2" s="2"/>
      <c r="OFM2" s="2"/>
      <c r="OFN2" s="2"/>
      <c r="OFO2" s="2"/>
      <c r="OFP2" s="2"/>
      <c r="OFQ2" s="2"/>
      <c r="OFR2" s="2"/>
      <c r="OFS2" s="2"/>
      <c r="OFT2" s="2"/>
      <c r="OFU2" s="2"/>
      <c r="OFV2" s="2"/>
      <c r="OFW2" s="2"/>
      <c r="OFX2" s="2"/>
      <c r="OFY2" s="2" t="s">
        <v>0</v>
      </c>
      <c r="OFZ2" s="2"/>
      <c r="OGA2" s="2"/>
      <c r="OGB2" s="2"/>
      <c r="OGC2" s="2"/>
      <c r="OGD2" s="2"/>
      <c r="OGE2" s="2"/>
      <c r="OGF2" s="2"/>
      <c r="OGG2" s="2"/>
      <c r="OGH2" s="2"/>
      <c r="OGI2" s="2"/>
      <c r="OGJ2" s="2"/>
      <c r="OGK2" s="2"/>
      <c r="OGL2" s="2"/>
      <c r="OGM2" s="2"/>
      <c r="OGN2" s="2"/>
      <c r="OGO2" s="2" t="s">
        <v>0</v>
      </c>
      <c r="OGP2" s="2"/>
      <c r="OGQ2" s="2"/>
      <c r="OGR2" s="2"/>
      <c r="OGS2" s="2"/>
      <c r="OGT2" s="2"/>
      <c r="OGU2" s="2"/>
      <c r="OGV2" s="2"/>
      <c r="OGW2" s="2"/>
      <c r="OGX2" s="2"/>
      <c r="OGY2" s="2"/>
      <c r="OGZ2" s="2"/>
      <c r="OHA2" s="2"/>
      <c r="OHB2" s="2"/>
      <c r="OHC2" s="2"/>
      <c r="OHD2" s="2"/>
      <c r="OHE2" s="2" t="s">
        <v>0</v>
      </c>
      <c r="OHF2" s="2"/>
      <c r="OHG2" s="2"/>
      <c r="OHH2" s="2"/>
      <c r="OHI2" s="2"/>
      <c r="OHJ2" s="2"/>
      <c r="OHK2" s="2"/>
      <c r="OHL2" s="2"/>
      <c r="OHM2" s="2"/>
      <c r="OHN2" s="2"/>
      <c r="OHO2" s="2"/>
      <c r="OHP2" s="2"/>
      <c r="OHQ2" s="2"/>
      <c r="OHR2" s="2"/>
      <c r="OHS2" s="2"/>
      <c r="OHT2" s="2"/>
      <c r="OHU2" s="2" t="s">
        <v>0</v>
      </c>
      <c r="OHV2" s="2"/>
      <c r="OHW2" s="2"/>
      <c r="OHX2" s="2"/>
      <c r="OHY2" s="2"/>
      <c r="OHZ2" s="2"/>
      <c r="OIA2" s="2"/>
      <c r="OIB2" s="2"/>
      <c r="OIC2" s="2"/>
      <c r="OID2" s="2"/>
      <c r="OIE2" s="2"/>
      <c r="OIF2" s="2"/>
      <c r="OIG2" s="2"/>
      <c r="OIH2" s="2"/>
      <c r="OII2" s="2"/>
      <c r="OIJ2" s="2"/>
      <c r="OIK2" s="2" t="s">
        <v>0</v>
      </c>
      <c r="OIL2" s="2"/>
      <c r="OIM2" s="2"/>
      <c r="OIN2" s="2"/>
      <c r="OIO2" s="2"/>
      <c r="OIP2" s="2"/>
      <c r="OIQ2" s="2"/>
      <c r="OIR2" s="2"/>
      <c r="OIS2" s="2"/>
      <c r="OIT2" s="2"/>
      <c r="OIU2" s="2"/>
      <c r="OIV2" s="2"/>
      <c r="OIW2" s="2"/>
      <c r="OIX2" s="2"/>
      <c r="OIY2" s="2"/>
      <c r="OIZ2" s="2"/>
      <c r="OJA2" s="2" t="s">
        <v>0</v>
      </c>
      <c r="OJB2" s="2"/>
      <c r="OJC2" s="2"/>
      <c r="OJD2" s="2"/>
      <c r="OJE2" s="2"/>
      <c r="OJF2" s="2"/>
      <c r="OJG2" s="2"/>
      <c r="OJH2" s="2"/>
      <c r="OJI2" s="2"/>
      <c r="OJJ2" s="2"/>
      <c r="OJK2" s="2"/>
      <c r="OJL2" s="2"/>
      <c r="OJM2" s="2"/>
      <c r="OJN2" s="2"/>
      <c r="OJO2" s="2"/>
      <c r="OJP2" s="2"/>
      <c r="OJQ2" s="2" t="s">
        <v>0</v>
      </c>
      <c r="OJR2" s="2"/>
      <c r="OJS2" s="2"/>
      <c r="OJT2" s="2"/>
      <c r="OJU2" s="2"/>
      <c r="OJV2" s="2"/>
      <c r="OJW2" s="2"/>
      <c r="OJX2" s="2"/>
      <c r="OJY2" s="2"/>
      <c r="OJZ2" s="2"/>
      <c r="OKA2" s="2"/>
      <c r="OKB2" s="2"/>
      <c r="OKC2" s="2"/>
      <c r="OKD2" s="2"/>
      <c r="OKE2" s="2"/>
      <c r="OKF2" s="2"/>
      <c r="OKG2" s="2" t="s">
        <v>0</v>
      </c>
      <c r="OKH2" s="2"/>
      <c r="OKI2" s="2"/>
      <c r="OKJ2" s="2"/>
      <c r="OKK2" s="2"/>
      <c r="OKL2" s="2"/>
      <c r="OKM2" s="2"/>
      <c r="OKN2" s="2"/>
      <c r="OKO2" s="2"/>
      <c r="OKP2" s="2"/>
      <c r="OKQ2" s="2"/>
      <c r="OKR2" s="2"/>
      <c r="OKS2" s="2"/>
      <c r="OKT2" s="2"/>
      <c r="OKU2" s="2"/>
      <c r="OKV2" s="2"/>
      <c r="OKW2" s="2" t="s">
        <v>0</v>
      </c>
      <c r="OKX2" s="2"/>
      <c r="OKY2" s="2"/>
      <c r="OKZ2" s="2"/>
      <c r="OLA2" s="2"/>
      <c r="OLB2" s="2"/>
      <c r="OLC2" s="2"/>
      <c r="OLD2" s="2"/>
      <c r="OLE2" s="2"/>
      <c r="OLF2" s="2"/>
      <c r="OLG2" s="2"/>
      <c r="OLH2" s="2"/>
      <c r="OLI2" s="2"/>
      <c r="OLJ2" s="2"/>
      <c r="OLK2" s="2"/>
      <c r="OLL2" s="2"/>
      <c r="OLM2" s="2" t="s">
        <v>0</v>
      </c>
      <c r="OLN2" s="2"/>
      <c r="OLO2" s="2"/>
      <c r="OLP2" s="2"/>
      <c r="OLQ2" s="2"/>
      <c r="OLR2" s="2"/>
      <c r="OLS2" s="2"/>
      <c r="OLT2" s="2"/>
      <c r="OLU2" s="2"/>
      <c r="OLV2" s="2"/>
      <c r="OLW2" s="2"/>
      <c r="OLX2" s="2"/>
      <c r="OLY2" s="2"/>
      <c r="OLZ2" s="2"/>
      <c r="OMA2" s="2"/>
      <c r="OMB2" s="2"/>
      <c r="OMC2" s="2" t="s">
        <v>0</v>
      </c>
      <c r="OMD2" s="2"/>
      <c r="OME2" s="2"/>
      <c r="OMF2" s="2"/>
      <c r="OMG2" s="2"/>
      <c r="OMH2" s="2"/>
      <c r="OMI2" s="2"/>
      <c r="OMJ2" s="2"/>
      <c r="OMK2" s="2"/>
      <c r="OML2" s="2"/>
      <c r="OMM2" s="2"/>
      <c r="OMN2" s="2"/>
      <c r="OMO2" s="2"/>
      <c r="OMP2" s="2"/>
      <c r="OMQ2" s="2"/>
      <c r="OMR2" s="2"/>
      <c r="OMS2" s="2" t="s">
        <v>0</v>
      </c>
      <c r="OMT2" s="2"/>
      <c r="OMU2" s="2"/>
      <c r="OMV2" s="2"/>
      <c r="OMW2" s="2"/>
      <c r="OMX2" s="2"/>
      <c r="OMY2" s="2"/>
      <c r="OMZ2" s="2"/>
      <c r="ONA2" s="2"/>
      <c r="ONB2" s="2"/>
      <c r="ONC2" s="2"/>
      <c r="OND2" s="2"/>
      <c r="ONE2" s="2"/>
      <c r="ONF2" s="2"/>
      <c r="ONG2" s="2"/>
      <c r="ONH2" s="2"/>
      <c r="ONI2" s="2" t="s">
        <v>0</v>
      </c>
      <c r="ONJ2" s="2"/>
      <c r="ONK2" s="2"/>
      <c r="ONL2" s="2"/>
      <c r="ONM2" s="2"/>
      <c r="ONN2" s="2"/>
      <c r="ONO2" s="2"/>
      <c r="ONP2" s="2"/>
      <c r="ONQ2" s="2"/>
      <c r="ONR2" s="2"/>
      <c r="ONS2" s="2"/>
      <c r="ONT2" s="2"/>
      <c r="ONU2" s="2"/>
      <c r="ONV2" s="2"/>
      <c r="ONW2" s="2"/>
      <c r="ONX2" s="2"/>
      <c r="ONY2" s="2" t="s">
        <v>0</v>
      </c>
      <c r="ONZ2" s="2"/>
      <c r="OOA2" s="2"/>
      <c r="OOB2" s="2"/>
      <c r="OOC2" s="2"/>
      <c r="OOD2" s="2"/>
      <c r="OOE2" s="2"/>
      <c r="OOF2" s="2"/>
      <c r="OOG2" s="2"/>
      <c r="OOH2" s="2"/>
      <c r="OOI2" s="2"/>
      <c r="OOJ2" s="2"/>
      <c r="OOK2" s="2"/>
      <c r="OOL2" s="2"/>
      <c r="OOM2" s="2"/>
      <c r="OON2" s="2"/>
      <c r="OOO2" s="2" t="s">
        <v>0</v>
      </c>
      <c r="OOP2" s="2"/>
      <c r="OOQ2" s="2"/>
      <c r="OOR2" s="2"/>
      <c r="OOS2" s="2"/>
      <c r="OOT2" s="2"/>
      <c r="OOU2" s="2"/>
      <c r="OOV2" s="2"/>
      <c r="OOW2" s="2"/>
      <c r="OOX2" s="2"/>
      <c r="OOY2" s="2"/>
      <c r="OOZ2" s="2"/>
      <c r="OPA2" s="2"/>
      <c r="OPB2" s="2"/>
      <c r="OPC2" s="2"/>
      <c r="OPD2" s="2"/>
      <c r="OPE2" s="2" t="s">
        <v>0</v>
      </c>
      <c r="OPF2" s="2"/>
      <c r="OPG2" s="2"/>
      <c r="OPH2" s="2"/>
      <c r="OPI2" s="2"/>
      <c r="OPJ2" s="2"/>
      <c r="OPK2" s="2"/>
      <c r="OPL2" s="2"/>
      <c r="OPM2" s="2"/>
      <c r="OPN2" s="2"/>
      <c r="OPO2" s="2"/>
      <c r="OPP2" s="2"/>
      <c r="OPQ2" s="2"/>
      <c r="OPR2" s="2"/>
      <c r="OPS2" s="2"/>
      <c r="OPT2" s="2"/>
      <c r="OPU2" s="2" t="s">
        <v>0</v>
      </c>
      <c r="OPV2" s="2"/>
      <c r="OPW2" s="2"/>
      <c r="OPX2" s="2"/>
      <c r="OPY2" s="2"/>
      <c r="OPZ2" s="2"/>
      <c r="OQA2" s="2"/>
      <c r="OQB2" s="2"/>
      <c r="OQC2" s="2"/>
      <c r="OQD2" s="2"/>
      <c r="OQE2" s="2"/>
      <c r="OQF2" s="2"/>
      <c r="OQG2" s="2"/>
      <c r="OQH2" s="2"/>
      <c r="OQI2" s="2"/>
      <c r="OQJ2" s="2"/>
      <c r="OQK2" s="2" t="s">
        <v>0</v>
      </c>
      <c r="OQL2" s="2"/>
      <c r="OQM2" s="2"/>
      <c r="OQN2" s="2"/>
      <c r="OQO2" s="2"/>
      <c r="OQP2" s="2"/>
      <c r="OQQ2" s="2"/>
      <c r="OQR2" s="2"/>
      <c r="OQS2" s="2"/>
      <c r="OQT2" s="2"/>
      <c r="OQU2" s="2"/>
      <c r="OQV2" s="2"/>
      <c r="OQW2" s="2"/>
      <c r="OQX2" s="2"/>
      <c r="OQY2" s="2"/>
      <c r="OQZ2" s="2"/>
      <c r="ORA2" s="2" t="s">
        <v>0</v>
      </c>
      <c r="ORB2" s="2"/>
      <c r="ORC2" s="2"/>
      <c r="ORD2" s="2"/>
      <c r="ORE2" s="2"/>
      <c r="ORF2" s="2"/>
      <c r="ORG2" s="2"/>
      <c r="ORH2" s="2"/>
      <c r="ORI2" s="2"/>
      <c r="ORJ2" s="2"/>
      <c r="ORK2" s="2"/>
      <c r="ORL2" s="2"/>
      <c r="ORM2" s="2"/>
      <c r="ORN2" s="2"/>
      <c r="ORO2" s="2"/>
      <c r="ORP2" s="2"/>
      <c r="ORQ2" s="2" t="s">
        <v>0</v>
      </c>
      <c r="ORR2" s="2"/>
      <c r="ORS2" s="2"/>
      <c r="ORT2" s="2"/>
      <c r="ORU2" s="2"/>
      <c r="ORV2" s="2"/>
      <c r="ORW2" s="2"/>
      <c r="ORX2" s="2"/>
      <c r="ORY2" s="2"/>
      <c r="ORZ2" s="2"/>
      <c r="OSA2" s="2"/>
      <c r="OSB2" s="2"/>
      <c r="OSC2" s="2"/>
      <c r="OSD2" s="2"/>
      <c r="OSE2" s="2"/>
      <c r="OSF2" s="2"/>
      <c r="OSG2" s="2" t="s">
        <v>0</v>
      </c>
      <c r="OSH2" s="2"/>
      <c r="OSI2" s="2"/>
      <c r="OSJ2" s="2"/>
      <c r="OSK2" s="2"/>
      <c r="OSL2" s="2"/>
      <c r="OSM2" s="2"/>
      <c r="OSN2" s="2"/>
      <c r="OSO2" s="2"/>
      <c r="OSP2" s="2"/>
      <c r="OSQ2" s="2"/>
      <c r="OSR2" s="2"/>
      <c r="OSS2" s="2"/>
      <c r="OST2" s="2"/>
      <c r="OSU2" s="2"/>
      <c r="OSV2" s="2"/>
      <c r="OSW2" s="2" t="s">
        <v>0</v>
      </c>
      <c r="OSX2" s="2"/>
      <c r="OSY2" s="2"/>
      <c r="OSZ2" s="2"/>
      <c r="OTA2" s="2"/>
      <c r="OTB2" s="2"/>
      <c r="OTC2" s="2"/>
      <c r="OTD2" s="2"/>
      <c r="OTE2" s="2"/>
      <c r="OTF2" s="2"/>
      <c r="OTG2" s="2"/>
      <c r="OTH2" s="2"/>
      <c r="OTI2" s="2"/>
      <c r="OTJ2" s="2"/>
      <c r="OTK2" s="2"/>
      <c r="OTL2" s="2"/>
      <c r="OTM2" s="2" t="s">
        <v>0</v>
      </c>
      <c r="OTN2" s="2"/>
      <c r="OTO2" s="2"/>
      <c r="OTP2" s="2"/>
      <c r="OTQ2" s="2"/>
      <c r="OTR2" s="2"/>
      <c r="OTS2" s="2"/>
      <c r="OTT2" s="2"/>
      <c r="OTU2" s="2"/>
      <c r="OTV2" s="2"/>
      <c r="OTW2" s="2"/>
      <c r="OTX2" s="2"/>
      <c r="OTY2" s="2"/>
      <c r="OTZ2" s="2"/>
      <c r="OUA2" s="2"/>
      <c r="OUB2" s="2"/>
      <c r="OUC2" s="2" t="s">
        <v>0</v>
      </c>
      <c r="OUD2" s="2"/>
      <c r="OUE2" s="2"/>
      <c r="OUF2" s="2"/>
      <c r="OUG2" s="2"/>
      <c r="OUH2" s="2"/>
      <c r="OUI2" s="2"/>
      <c r="OUJ2" s="2"/>
      <c r="OUK2" s="2"/>
      <c r="OUL2" s="2"/>
      <c r="OUM2" s="2"/>
      <c r="OUN2" s="2"/>
      <c r="OUO2" s="2"/>
      <c r="OUP2" s="2"/>
      <c r="OUQ2" s="2"/>
      <c r="OUR2" s="2"/>
      <c r="OUS2" s="2" t="s">
        <v>0</v>
      </c>
      <c r="OUT2" s="2"/>
      <c r="OUU2" s="2"/>
      <c r="OUV2" s="2"/>
      <c r="OUW2" s="2"/>
      <c r="OUX2" s="2"/>
      <c r="OUY2" s="2"/>
      <c r="OUZ2" s="2"/>
      <c r="OVA2" s="2"/>
      <c r="OVB2" s="2"/>
      <c r="OVC2" s="2"/>
      <c r="OVD2" s="2"/>
      <c r="OVE2" s="2"/>
      <c r="OVF2" s="2"/>
      <c r="OVG2" s="2"/>
      <c r="OVH2" s="2"/>
      <c r="OVI2" s="2" t="s">
        <v>0</v>
      </c>
      <c r="OVJ2" s="2"/>
      <c r="OVK2" s="2"/>
      <c r="OVL2" s="2"/>
      <c r="OVM2" s="2"/>
      <c r="OVN2" s="2"/>
      <c r="OVO2" s="2"/>
      <c r="OVP2" s="2"/>
      <c r="OVQ2" s="2"/>
      <c r="OVR2" s="2"/>
      <c r="OVS2" s="2"/>
      <c r="OVT2" s="2"/>
      <c r="OVU2" s="2"/>
      <c r="OVV2" s="2"/>
      <c r="OVW2" s="2"/>
      <c r="OVX2" s="2"/>
      <c r="OVY2" s="2" t="s">
        <v>0</v>
      </c>
      <c r="OVZ2" s="2"/>
      <c r="OWA2" s="2"/>
      <c r="OWB2" s="2"/>
      <c r="OWC2" s="2"/>
      <c r="OWD2" s="2"/>
      <c r="OWE2" s="2"/>
      <c r="OWF2" s="2"/>
      <c r="OWG2" s="2"/>
      <c r="OWH2" s="2"/>
      <c r="OWI2" s="2"/>
      <c r="OWJ2" s="2"/>
      <c r="OWK2" s="2"/>
      <c r="OWL2" s="2"/>
      <c r="OWM2" s="2"/>
      <c r="OWN2" s="2"/>
      <c r="OWO2" s="2" t="s">
        <v>0</v>
      </c>
      <c r="OWP2" s="2"/>
      <c r="OWQ2" s="2"/>
      <c r="OWR2" s="2"/>
      <c r="OWS2" s="2"/>
      <c r="OWT2" s="2"/>
      <c r="OWU2" s="2"/>
      <c r="OWV2" s="2"/>
      <c r="OWW2" s="2"/>
      <c r="OWX2" s="2"/>
      <c r="OWY2" s="2"/>
      <c r="OWZ2" s="2"/>
      <c r="OXA2" s="2"/>
      <c r="OXB2" s="2"/>
      <c r="OXC2" s="2"/>
      <c r="OXD2" s="2"/>
      <c r="OXE2" s="2" t="s">
        <v>0</v>
      </c>
      <c r="OXF2" s="2"/>
      <c r="OXG2" s="2"/>
      <c r="OXH2" s="2"/>
      <c r="OXI2" s="2"/>
      <c r="OXJ2" s="2"/>
      <c r="OXK2" s="2"/>
      <c r="OXL2" s="2"/>
      <c r="OXM2" s="2"/>
      <c r="OXN2" s="2"/>
      <c r="OXO2" s="2"/>
      <c r="OXP2" s="2"/>
      <c r="OXQ2" s="2"/>
      <c r="OXR2" s="2"/>
      <c r="OXS2" s="2"/>
      <c r="OXT2" s="2"/>
      <c r="OXU2" s="2" t="s">
        <v>0</v>
      </c>
      <c r="OXV2" s="2"/>
      <c r="OXW2" s="2"/>
      <c r="OXX2" s="2"/>
      <c r="OXY2" s="2"/>
      <c r="OXZ2" s="2"/>
      <c r="OYA2" s="2"/>
      <c r="OYB2" s="2"/>
      <c r="OYC2" s="2"/>
      <c r="OYD2" s="2"/>
      <c r="OYE2" s="2"/>
      <c r="OYF2" s="2"/>
      <c r="OYG2" s="2"/>
      <c r="OYH2" s="2"/>
      <c r="OYI2" s="2"/>
      <c r="OYJ2" s="2"/>
      <c r="OYK2" s="2" t="s">
        <v>0</v>
      </c>
      <c r="OYL2" s="2"/>
      <c r="OYM2" s="2"/>
      <c r="OYN2" s="2"/>
      <c r="OYO2" s="2"/>
      <c r="OYP2" s="2"/>
      <c r="OYQ2" s="2"/>
      <c r="OYR2" s="2"/>
      <c r="OYS2" s="2"/>
      <c r="OYT2" s="2"/>
      <c r="OYU2" s="2"/>
      <c r="OYV2" s="2"/>
      <c r="OYW2" s="2"/>
      <c r="OYX2" s="2"/>
      <c r="OYY2" s="2"/>
      <c r="OYZ2" s="2"/>
      <c r="OZA2" s="2" t="s">
        <v>0</v>
      </c>
      <c r="OZB2" s="2"/>
      <c r="OZC2" s="2"/>
      <c r="OZD2" s="2"/>
      <c r="OZE2" s="2"/>
      <c r="OZF2" s="2"/>
      <c r="OZG2" s="2"/>
      <c r="OZH2" s="2"/>
      <c r="OZI2" s="2"/>
      <c r="OZJ2" s="2"/>
      <c r="OZK2" s="2"/>
      <c r="OZL2" s="2"/>
      <c r="OZM2" s="2"/>
      <c r="OZN2" s="2"/>
      <c r="OZO2" s="2"/>
      <c r="OZP2" s="2"/>
      <c r="OZQ2" s="2" t="s">
        <v>0</v>
      </c>
      <c r="OZR2" s="2"/>
      <c r="OZS2" s="2"/>
      <c r="OZT2" s="2"/>
      <c r="OZU2" s="2"/>
      <c r="OZV2" s="2"/>
      <c r="OZW2" s="2"/>
      <c r="OZX2" s="2"/>
      <c r="OZY2" s="2"/>
      <c r="OZZ2" s="2"/>
      <c r="PAA2" s="2"/>
      <c r="PAB2" s="2"/>
      <c r="PAC2" s="2"/>
      <c r="PAD2" s="2"/>
      <c r="PAE2" s="2"/>
      <c r="PAF2" s="2"/>
      <c r="PAG2" s="2" t="s">
        <v>0</v>
      </c>
      <c r="PAH2" s="2"/>
      <c r="PAI2" s="2"/>
      <c r="PAJ2" s="2"/>
      <c r="PAK2" s="2"/>
      <c r="PAL2" s="2"/>
      <c r="PAM2" s="2"/>
      <c r="PAN2" s="2"/>
      <c r="PAO2" s="2"/>
      <c r="PAP2" s="2"/>
      <c r="PAQ2" s="2"/>
      <c r="PAR2" s="2"/>
      <c r="PAS2" s="2"/>
      <c r="PAT2" s="2"/>
      <c r="PAU2" s="2"/>
      <c r="PAV2" s="2"/>
      <c r="PAW2" s="2" t="s">
        <v>0</v>
      </c>
      <c r="PAX2" s="2"/>
      <c r="PAY2" s="2"/>
      <c r="PAZ2" s="2"/>
      <c r="PBA2" s="2"/>
      <c r="PBB2" s="2"/>
      <c r="PBC2" s="2"/>
      <c r="PBD2" s="2"/>
      <c r="PBE2" s="2"/>
      <c r="PBF2" s="2"/>
      <c r="PBG2" s="2"/>
      <c r="PBH2" s="2"/>
      <c r="PBI2" s="2"/>
      <c r="PBJ2" s="2"/>
      <c r="PBK2" s="2"/>
      <c r="PBL2" s="2"/>
      <c r="PBM2" s="2" t="s">
        <v>0</v>
      </c>
      <c r="PBN2" s="2"/>
      <c r="PBO2" s="2"/>
      <c r="PBP2" s="2"/>
      <c r="PBQ2" s="2"/>
      <c r="PBR2" s="2"/>
      <c r="PBS2" s="2"/>
      <c r="PBT2" s="2"/>
      <c r="PBU2" s="2"/>
      <c r="PBV2" s="2"/>
      <c r="PBW2" s="2"/>
      <c r="PBX2" s="2"/>
      <c r="PBY2" s="2"/>
      <c r="PBZ2" s="2"/>
      <c r="PCA2" s="2"/>
      <c r="PCB2" s="2"/>
      <c r="PCC2" s="2" t="s">
        <v>0</v>
      </c>
      <c r="PCD2" s="2"/>
      <c r="PCE2" s="2"/>
      <c r="PCF2" s="2"/>
      <c r="PCG2" s="2"/>
      <c r="PCH2" s="2"/>
      <c r="PCI2" s="2"/>
      <c r="PCJ2" s="2"/>
      <c r="PCK2" s="2"/>
      <c r="PCL2" s="2"/>
      <c r="PCM2" s="2"/>
      <c r="PCN2" s="2"/>
      <c r="PCO2" s="2"/>
      <c r="PCP2" s="2"/>
      <c r="PCQ2" s="2"/>
      <c r="PCR2" s="2"/>
      <c r="PCS2" s="2" t="s">
        <v>0</v>
      </c>
      <c r="PCT2" s="2"/>
      <c r="PCU2" s="2"/>
      <c r="PCV2" s="2"/>
      <c r="PCW2" s="2"/>
      <c r="PCX2" s="2"/>
      <c r="PCY2" s="2"/>
      <c r="PCZ2" s="2"/>
      <c r="PDA2" s="2"/>
      <c r="PDB2" s="2"/>
      <c r="PDC2" s="2"/>
      <c r="PDD2" s="2"/>
      <c r="PDE2" s="2"/>
      <c r="PDF2" s="2"/>
      <c r="PDG2" s="2"/>
      <c r="PDH2" s="2"/>
      <c r="PDI2" s="2" t="s">
        <v>0</v>
      </c>
      <c r="PDJ2" s="2"/>
      <c r="PDK2" s="2"/>
      <c r="PDL2" s="2"/>
      <c r="PDM2" s="2"/>
      <c r="PDN2" s="2"/>
      <c r="PDO2" s="2"/>
      <c r="PDP2" s="2"/>
      <c r="PDQ2" s="2"/>
      <c r="PDR2" s="2"/>
      <c r="PDS2" s="2"/>
      <c r="PDT2" s="2"/>
      <c r="PDU2" s="2"/>
      <c r="PDV2" s="2"/>
      <c r="PDW2" s="2"/>
      <c r="PDX2" s="2"/>
      <c r="PDY2" s="2" t="s">
        <v>0</v>
      </c>
      <c r="PDZ2" s="2"/>
      <c r="PEA2" s="2"/>
      <c r="PEB2" s="2"/>
      <c r="PEC2" s="2"/>
      <c r="PED2" s="2"/>
      <c r="PEE2" s="2"/>
      <c r="PEF2" s="2"/>
      <c r="PEG2" s="2"/>
      <c r="PEH2" s="2"/>
      <c r="PEI2" s="2"/>
      <c r="PEJ2" s="2"/>
      <c r="PEK2" s="2"/>
      <c r="PEL2" s="2"/>
      <c r="PEM2" s="2"/>
      <c r="PEN2" s="2"/>
      <c r="PEO2" s="2" t="s">
        <v>0</v>
      </c>
      <c r="PEP2" s="2"/>
      <c r="PEQ2" s="2"/>
      <c r="PER2" s="2"/>
      <c r="PES2" s="2"/>
      <c r="PET2" s="2"/>
      <c r="PEU2" s="2"/>
      <c r="PEV2" s="2"/>
      <c r="PEW2" s="2"/>
      <c r="PEX2" s="2"/>
      <c r="PEY2" s="2"/>
      <c r="PEZ2" s="2"/>
      <c r="PFA2" s="2"/>
      <c r="PFB2" s="2"/>
      <c r="PFC2" s="2"/>
      <c r="PFD2" s="2"/>
      <c r="PFE2" s="2" t="s">
        <v>0</v>
      </c>
      <c r="PFF2" s="2"/>
      <c r="PFG2" s="2"/>
      <c r="PFH2" s="2"/>
      <c r="PFI2" s="2"/>
      <c r="PFJ2" s="2"/>
      <c r="PFK2" s="2"/>
      <c r="PFL2" s="2"/>
      <c r="PFM2" s="2"/>
      <c r="PFN2" s="2"/>
      <c r="PFO2" s="2"/>
      <c r="PFP2" s="2"/>
      <c r="PFQ2" s="2"/>
      <c r="PFR2" s="2"/>
      <c r="PFS2" s="2"/>
      <c r="PFT2" s="2"/>
      <c r="PFU2" s="2" t="s">
        <v>0</v>
      </c>
      <c r="PFV2" s="2"/>
      <c r="PFW2" s="2"/>
      <c r="PFX2" s="2"/>
      <c r="PFY2" s="2"/>
      <c r="PFZ2" s="2"/>
      <c r="PGA2" s="2"/>
      <c r="PGB2" s="2"/>
      <c r="PGC2" s="2"/>
      <c r="PGD2" s="2"/>
      <c r="PGE2" s="2"/>
      <c r="PGF2" s="2"/>
      <c r="PGG2" s="2"/>
      <c r="PGH2" s="2"/>
      <c r="PGI2" s="2"/>
      <c r="PGJ2" s="2"/>
      <c r="PGK2" s="2" t="s">
        <v>0</v>
      </c>
      <c r="PGL2" s="2"/>
      <c r="PGM2" s="2"/>
      <c r="PGN2" s="2"/>
      <c r="PGO2" s="2"/>
      <c r="PGP2" s="2"/>
      <c r="PGQ2" s="2"/>
      <c r="PGR2" s="2"/>
      <c r="PGS2" s="2"/>
      <c r="PGT2" s="2"/>
      <c r="PGU2" s="2"/>
      <c r="PGV2" s="2"/>
      <c r="PGW2" s="2"/>
      <c r="PGX2" s="2"/>
      <c r="PGY2" s="2"/>
      <c r="PGZ2" s="2"/>
      <c r="PHA2" s="2" t="s">
        <v>0</v>
      </c>
      <c r="PHB2" s="2"/>
      <c r="PHC2" s="2"/>
      <c r="PHD2" s="2"/>
      <c r="PHE2" s="2"/>
      <c r="PHF2" s="2"/>
      <c r="PHG2" s="2"/>
      <c r="PHH2" s="2"/>
      <c r="PHI2" s="2"/>
      <c r="PHJ2" s="2"/>
      <c r="PHK2" s="2"/>
      <c r="PHL2" s="2"/>
      <c r="PHM2" s="2"/>
      <c r="PHN2" s="2"/>
      <c r="PHO2" s="2"/>
      <c r="PHP2" s="2"/>
      <c r="PHQ2" s="2" t="s">
        <v>0</v>
      </c>
      <c r="PHR2" s="2"/>
      <c r="PHS2" s="2"/>
      <c r="PHT2" s="2"/>
      <c r="PHU2" s="2"/>
      <c r="PHV2" s="2"/>
      <c r="PHW2" s="2"/>
      <c r="PHX2" s="2"/>
      <c r="PHY2" s="2"/>
      <c r="PHZ2" s="2"/>
      <c r="PIA2" s="2"/>
      <c r="PIB2" s="2"/>
      <c r="PIC2" s="2"/>
      <c r="PID2" s="2"/>
      <c r="PIE2" s="2"/>
      <c r="PIF2" s="2"/>
      <c r="PIG2" s="2" t="s">
        <v>0</v>
      </c>
      <c r="PIH2" s="2"/>
      <c r="PII2" s="2"/>
      <c r="PIJ2" s="2"/>
      <c r="PIK2" s="2"/>
      <c r="PIL2" s="2"/>
      <c r="PIM2" s="2"/>
      <c r="PIN2" s="2"/>
      <c r="PIO2" s="2"/>
      <c r="PIP2" s="2"/>
      <c r="PIQ2" s="2"/>
      <c r="PIR2" s="2"/>
      <c r="PIS2" s="2"/>
      <c r="PIT2" s="2"/>
      <c r="PIU2" s="2"/>
      <c r="PIV2" s="2"/>
      <c r="PIW2" s="2" t="s">
        <v>0</v>
      </c>
      <c r="PIX2" s="2"/>
      <c r="PIY2" s="2"/>
      <c r="PIZ2" s="2"/>
      <c r="PJA2" s="2"/>
      <c r="PJB2" s="2"/>
      <c r="PJC2" s="2"/>
      <c r="PJD2" s="2"/>
      <c r="PJE2" s="2"/>
      <c r="PJF2" s="2"/>
      <c r="PJG2" s="2"/>
      <c r="PJH2" s="2"/>
      <c r="PJI2" s="2"/>
      <c r="PJJ2" s="2"/>
      <c r="PJK2" s="2"/>
      <c r="PJL2" s="2"/>
      <c r="PJM2" s="2" t="s">
        <v>0</v>
      </c>
      <c r="PJN2" s="2"/>
      <c r="PJO2" s="2"/>
      <c r="PJP2" s="2"/>
      <c r="PJQ2" s="2"/>
      <c r="PJR2" s="2"/>
      <c r="PJS2" s="2"/>
      <c r="PJT2" s="2"/>
      <c r="PJU2" s="2"/>
      <c r="PJV2" s="2"/>
      <c r="PJW2" s="2"/>
      <c r="PJX2" s="2"/>
      <c r="PJY2" s="2"/>
      <c r="PJZ2" s="2"/>
      <c r="PKA2" s="2"/>
      <c r="PKB2" s="2"/>
      <c r="PKC2" s="2" t="s">
        <v>0</v>
      </c>
      <c r="PKD2" s="2"/>
      <c r="PKE2" s="2"/>
      <c r="PKF2" s="2"/>
      <c r="PKG2" s="2"/>
      <c r="PKH2" s="2"/>
      <c r="PKI2" s="2"/>
      <c r="PKJ2" s="2"/>
      <c r="PKK2" s="2"/>
      <c r="PKL2" s="2"/>
      <c r="PKM2" s="2"/>
      <c r="PKN2" s="2"/>
      <c r="PKO2" s="2"/>
      <c r="PKP2" s="2"/>
      <c r="PKQ2" s="2"/>
      <c r="PKR2" s="2"/>
      <c r="PKS2" s="2" t="s">
        <v>0</v>
      </c>
      <c r="PKT2" s="2"/>
      <c r="PKU2" s="2"/>
      <c r="PKV2" s="2"/>
      <c r="PKW2" s="2"/>
      <c r="PKX2" s="2"/>
      <c r="PKY2" s="2"/>
      <c r="PKZ2" s="2"/>
      <c r="PLA2" s="2"/>
      <c r="PLB2" s="2"/>
      <c r="PLC2" s="2"/>
      <c r="PLD2" s="2"/>
      <c r="PLE2" s="2"/>
      <c r="PLF2" s="2"/>
      <c r="PLG2" s="2"/>
      <c r="PLH2" s="2"/>
      <c r="PLI2" s="2" t="s">
        <v>0</v>
      </c>
      <c r="PLJ2" s="2"/>
      <c r="PLK2" s="2"/>
      <c r="PLL2" s="2"/>
      <c r="PLM2" s="2"/>
      <c r="PLN2" s="2"/>
      <c r="PLO2" s="2"/>
      <c r="PLP2" s="2"/>
      <c r="PLQ2" s="2"/>
      <c r="PLR2" s="2"/>
      <c r="PLS2" s="2"/>
      <c r="PLT2" s="2"/>
      <c r="PLU2" s="2"/>
      <c r="PLV2" s="2"/>
      <c r="PLW2" s="2"/>
      <c r="PLX2" s="2"/>
      <c r="PLY2" s="2" t="s">
        <v>0</v>
      </c>
      <c r="PLZ2" s="2"/>
      <c r="PMA2" s="2"/>
      <c r="PMB2" s="2"/>
      <c r="PMC2" s="2"/>
      <c r="PMD2" s="2"/>
      <c r="PME2" s="2"/>
      <c r="PMF2" s="2"/>
      <c r="PMG2" s="2"/>
      <c r="PMH2" s="2"/>
      <c r="PMI2" s="2"/>
      <c r="PMJ2" s="2"/>
      <c r="PMK2" s="2"/>
      <c r="PML2" s="2"/>
      <c r="PMM2" s="2"/>
      <c r="PMN2" s="2"/>
      <c r="PMO2" s="2" t="s">
        <v>0</v>
      </c>
      <c r="PMP2" s="2"/>
      <c r="PMQ2" s="2"/>
      <c r="PMR2" s="2"/>
      <c r="PMS2" s="2"/>
      <c r="PMT2" s="2"/>
      <c r="PMU2" s="2"/>
      <c r="PMV2" s="2"/>
      <c r="PMW2" s="2"/>
      <c r="PMX2" s="2"/>
      <c r="PMY2" s="2"/>
      <c r="PMZ2" s="2"/>
      <c r="PNA2" s="2"/>
      <c r="PNB2" s="2"/>
      <c r="PNC2" s="2"/>
      <c r="PND2" s="2"/>
      <c r="PNE2" s="2" t="s">
        <v>0</v>
      </c>
      <c r="PNF2" s="2"/>
      <c r="PNG2" s="2"/>
      <c r="PNH2" s="2"/>
      <c r="PNI2" s="2"/>
      <c r="PNJ2" s="2"/>
      <c r="PNK2" s="2"/>
      <c r="PNL2" s="2"/>
      <c r="PNM2" s="2"/>
      <c r="PNN2" s="2"/>
      <c r="PNO2" s="2"/>
      <c r="PNP2" s="2"/>
      <c r="PNQ2" s="2"/>
      <c r="PNR2" s="2"/>
      <c r="PNS2" s="2"/>
      <c r="PNT2" s="2"/>
      <c r="PNU2" s="2" t="s">
        <v>0</v>
      </c>
      <c r="PNV2" s="2"/>
      <c r="PNW2" s="2"/>
      <c r="PNX2" s="2"/>
      <c r="PNY2" s="2"/>
      <c r="PNZ2" s="2"/>
      <c r="POA2" s="2"/>
      <c r="POB2" s="2"/>
      <c r="POC2" s="2"/>
      <c r="POD2" s="2"/>
      <c r="POE2" s="2"/>
      <c r="POF2" s="2"/>
      <c r="POG2" s="2"/>
      <c r="POH2" s="2"/>
      <c r="POI2" s="2"/>
      <c r="POJ2" s="2"/>
      <c r="POK2" s="2" t="s">
        <v>0</v>
      </c>
      <c r="POL2" s="2"/>
      <c r="POM2" s="2"/>
      <c r="PON2" s="2"/>
      <c r="POO2" s="2"/>
      <c r="POP2" s="2"/>
      <c r="POQ2" s="2"/>
      <c r="POR2" s="2"/>
      <c r="POS2" s="2"/>
      <c r="POT2" s="2"/>
      <c r="POU2" s="2"/>
      <c r="POV2" s="2"/>
      <c r="POW2" s="2"/>
      <c r="POX2" s="2"/>
      <c r="POY2" s="2"/>
      <c r="POZ2" s="2"/>
      <c r="PPA2" s="2" t="s">
        <v>0</v>
      </c>
      <c r="PPB2" s="2"/>
      <c r="PPC2" s="2"/>
      <c r="PPD2" s="2"/>
      <c r="PPE2" s="2"/>
      <c r="PPF2" s="2"/>
      <c r="PPG2" s="2"/>
      <c r="PPH2" s="2"/>
      <c r="PPI2" s="2"/>
      <c r="PPJ2" s="2"/>
      <c r="PPK2" s="2"/>
      <c r="PPL2" s="2"/>
      <c r="PPM2" s="2"/>
      <c r="PPN2" s="2"/>
      <c r="PPO2" s="2"/>
      <c r="PPP2" s="2"/>
      <c r="PPQ2" s="2" t="s">
        <v>0</v>
      </c>
      <c r="PPR2" s="2"/>
      <c r="PPS2" s="2"/>
      <c r="PPT2" s="2"/>
      <c r="PPU2" s="2"/>
      <c r="PPV2" s="2"/>
      <c r="PPW2" s="2"/>
      <c r="PPX2" s="2"/>
      <c r="PPY2" s="2"/>
      <c r="PPZ2" s="2"/>
      <c r="PQA2" s="2"/>
      <c r="PQB2" s="2"/>
      <c r="PQC2" s="2"/>
      <c r="PQD2" s="2"/>
      <c r="PQE2" s="2"/>
      <c r="PQF2" s="2"/>
      <c r="PQG2" s="2" t="s">
        <v>0</v>
      </c>
      <c r="PQH2" s="2"/>
      <c r="PQI2" s="2"/>
      <c r="PQJ2" s="2"/>
      <c r="PQK2" s="2"/>
      <c r="PQL2" s="2"/>
      <c r="PQM2" s="2"/>
      <c r="PQN2" s="2"/>
      <c r="PQO2" s="2"/>
      <c r="PQP2" s="2"/>
      <c r="PQQ2" s="2"/>
      <c r="PQR2" s="2"/>
      <c r="PQS2" s="2"/>
      <c r="PQT2" s="2"/>
      <c r="PQU2" s="2"/>
      <c r="PQV2" s="2"/>
      <c r="PQW2" s="2" t="s">
        <v>0</v>
      </c>
      <c r="PQX2" s="2"/>
      <c r="PQY2" s="2"/>
      <c r="PQZ2" s="2"/>
      <c r="PRA2" s="2"/>
      <c r="PRB2" s="2"/>
      <c r="PRC2" s="2"/>
      <c r="PRD2" s="2"/>
      <c r="PRE2" s="2"/>
      <c r="PRF2" s="2"/>
      <c r="PRG2" s="2"/>
      <c r="PRH2" s="2"/>
      <c r="PRI2" s="2"/>
      <c r="PRJ2" s="2"/>
      <c r="PRK2" s="2"/>
      <c r="PRL2" s="2"/>
      <c r="PRM2" s="2" t="s">
        <v>0</v>
      </c>
      <c r="PRN2" s="2"/>
      <c r="PRO2" s="2"/>
      <c r="PRP2" s="2"/>
      <c r="PRQ2" s="2"/>
      <c r="PRR2" s="2"/>
      <c r="PRS2" s="2"/>
      <c r="PRT2" s="2"/>
      <c r="PRU2" s="2"/>
      <c r="PRV2" s="2"/>
      <c r="PRW2" s="2"/>
      <c r="PRX2" s="2"/>
      <c r="PRY2" s="2"/>
      <c r="PRZ2" s="2"/>
      <c r="PSA2" s="2"/>
      <c r="PSB2" s="2"/>
      <c r="PSC2" s="2" t="s">
        <v>0</v>
      </c>
      <c r="PSD2" s="2"/>
      <c r="PSE2" s="2"/>
      <c r="PSF2" s="2"/>
      <c r="PSG2" s="2"/>
      <c r="PSH2" s="2"/>
      <c r="PSI2" s="2"/>
      <c r="PSJ2" s="2"/>
      <c r="PSK2" s="2"/>
      <c r="PSL2" s="2"/>
      <c r="PSM2" s="2"/>
      <c r="PSN2" s="2"/>
      <c r="PSO2" s="2"/>
      <c r="PSP2" s="2"/>
      <c r="PSQ2" s="2"/>
      <c r="PSR2" s="2"/>
      <c r="PSS2" s="2" t="s">
        <v>0</v>
      </c>
      <c r="PST2" s="2"/>
      <c r="PSU2" s="2"/>
      <c r="PSV2" s="2"/>
      <c r="PSW2" s="2"/>
      <c r="PSX2" s="2"/>
      <c r="PSY2" s="2"/>
      <c r="PSZ2" s="2"/>
      <c r="PTA2" s="2"/>
      <c r="PTB2" s="2"/>
      <c r="PTC2" s="2"/>
      <c r="PTD2" s="2"/>
      <c r="PTE2" s="2"/>
      <c r="PTF2" s="2"/>
      <c r="PTG2" s="2"/>
      <c r="PTH2" s="2"/>
      <c r="PTI2" s="2" t="s">
        <v>0</v>
      </c>
      <c r="PTJ2" s="2"/>
      <c r="PTK2" s="2"/>
      <c r="PTL2" s="2"/>
      <c r="PTM2" s="2"/>
      <c r="PTN2" s="2"/>
      <c r="PTO2" s="2"/>
      <c r="PTP2" s="2"/>
      <c r="PTQ2" s="2"/>
      <c r="PTR2" s="2"/>
      <c r="PTS2" s="2"/>
      <c r="PTT2" s="2"/>
      <c r="PTU2" s="2"/>
      <c r="PTV2" s="2"/>
      <c r="PTW2" s="2"/>
      <c r="PTX2" s="2"/>
      <c r="PTY2" s="2" t="s">
        <v>0</v>
      </c>
      <c r="PTZ2" s="2"/>
      <c r="PUA2" s="2"/>
      <c r="PUB2" s="2"/>
      <c r="PUC2" s="2"/>
      <c r="PUD2" s="2"/>
      <c r="PUE2" s="2"/>
      <c r="PUF2" s="2"/>
      <c r="PUG2" s="2"/>
      <c r="PUH2" s="2"/>
      <c r="PUI2" s="2"/>
      <c r="PUJ2" s="2"/>
      <c r="PUK2" s="2"/>
      <c r="PUL2" s="2"/>
      <c r="PUM2" s="2"/>
      <c r="PUN2" s="2"/>
      <c r="PUO2" s="2" t="s">
        <v>0</v>
      </c>
      <c r="PUP2" s="2"/>
      <c r="PUQ2" s="2"/>
      <c r="PUR2" s="2"/>
      <c r="PUS2" s="2"/>
      <c r="PUT2" s="2"/>
      <c r="PUU2" s="2"/>
      <c r="PUV2" s="2"/>
      <c r="PUW2" s="2"/>
      <c r="PUX2" s="2"/>
      <c r="PUY2" s="2"/>
      <c r="PUZ2" s="2"/>
      <c r="PVA2" s="2"/>
      <c r="PVB2" s="2"/>
      <c r="PVC2" s="2"/>
      <c r="PVD2" s="2"/>
      <c r="PVE2" s="2" t="s">
        <v>0</v>
      </c>
      <c r="PVF2" s="2"/>
      <c r="PVG2" s="2"/>
      <c r="PVH2" s="2"/>
      <c r="PVI2" s="2"/>
      <c r="PVJ2" s="2"/>
      <c r="PVK2" s="2"/>
      <c r="PVL2" s="2"/>
      <c r="PVM2" s="2"/>
      <c r="PVN2" s="2"/>
      <c r="PVO2" s="2"/>
      <c r="PVP2" s="2"/>
      <c r="PVQ2" s="2"/>
      <c r="PVR2" s="2"/>
      <c r="PVS2" s="2"/>
      <c r="PVT2" s="2"/>
      <c r="PVU2" s="2" t="s">
        <v>0</v>
      </c>
      <c r="PVV2" s="2"/>
      <c r="PVW2" s="2"/>
      <c r="PVX2" s="2"/>
      <c r="PVY2" s="2"/>
      <c r="PVZ2" s="2"/>
      <c r="PWA2" s="2"/>
      <c r="PWB2" s="2"/>
      <c r="PWC2" s="2"/>
      <c r="PWD2" s="2"/>
      <c r="PWE2" s="2"/>
      <c r="PWF2" s="2"/>
      <c r="PWG2" s="2"/>
      <c r="PWH2" s="2"/>
      <c r="PWI2" s="2"/>
      <c r="PWJ2" s="2"/>
      <c r="PWK2" s="2" t="s">
        <v>0</v>
      </c>
      <c r="PWL2" s="2"/>
      <c r="PWM2" s="2"/>
      <c r="PWN2" s="2"/>
      <c r="PWO2" s="2"/>
      <c r="PWP2" s="2"/>
      <c r="PWQ2" s="2"/>
      <c r="PWR2" s="2"/>
      <c r="PWS2" s="2"/>
      <c r="PWT2" s="2"/>
      <c r="PWU2" s="2"/>
      <c r="PWV2" s="2"/>
      <c r="PWW2" s="2"/>
      <c r="PWX2" s="2"/>
      <c r="PWY2" s="2"/>
      <c r="PWZ2" s="2"/>
      <c r="PXA2" s="2" t="s">
        <v>0</v>
      </c>
      <c r="PXB2" s="2"/>
      <c r="PXC2" s="2"/>
      <c r="PXD2" s="2"/>
      <c r="PXE2" s="2"/>
      <c r="PXF2" s="2"/>
      <c r="PXG2" s="2"/>
      <c r="PXH2" s="2"/>
      <c r="PXI2" s="2"/>
      <c r="PXJ2" s="2"/>
      <c r="PXK2" s="2"/>
      <c r="PXL2" s="2"/>
      <c r="PXM2" s="2"/>
      <c r="PXN2" s="2"/>
      <c r="PXO2" s="2"/>
      <c r="PXP2" s="2"/>
      <c r="PXQ2" s="2" t="s">
        <v>0</v>
      </c>
      <c r="PXR2" s="2"/>
      <c r="PXS2" s="2"/>
      <c r="PXT2" s="2"/>
      <c r="PXU2" s="2"/>
      <c r="PXV2" s="2"/>
      <c r="PXW2" s="2"/>
      <c r="PXX2" s="2"/>
      <c r="PXY2" s="2"/>
      <c r="PXZ2" s="2"/>
      <c r="PYA2" s="2"/>
      <c r="PYB2" s="2"/>
      <c r="PYC2" s="2"/>
      <c r="PYD2" s="2"/>
      <c r="PYE2" s="2"/>
      <c r="PYF2" s="2"/>
      <c r="PYG2" s="2" t="s">
        <v>0</v>
      </c>
      <c r="PYH2" s="2"/>
      <c r="PYI2" s="2"/>
      <c r="PYJ2" s="2"/>
      <c r="PYK2" s="2"/>
      <c r="PYL2" s="2"/>
      <c r="PYM2" s="2"/>
      <c r="PYN2" s="2"/>
      <c r="PYO2" s="2"/>
      <c r="PYP2" s="2"/>
      <c r="PYQ2" s="2"/>
      <c r="PYR2" s="2"/>
      <c r="PYS2" s="2"/>
      <c r="PYT2" s="2"/>
      <c r="PYU2" s="2"/>
      <c r="PYV2" s="2"/>
      <c r="PYW2" s="2" t="s">
        <v>0</v>
      </c>
      <c r="PYX2" s="2"/>
      <c r="PYY2" s="2"/>
      <c r="PYZ2" s="2"/>
      <c r="PZA2" s="2"/>
      <c r="PZB2" s="2"/>
      <c r="PZC2" s="2"/>
      <c r="PZD2" s="2"/>
      <c r="PZE2" s="2"/>
      <c r="PZF2" s="2"/>
      <c r="PZG2" s="2"/>
      <c r="PZH2" s="2"/>
      <c r="PZI2" s="2"/>
      <c r="PZJ2" s="2"/>
      <c r="PZK2" s="2"/>
      <c r="PZL2" s="2"/>
      <c r="PZM2" s="2" t="s">
        <v>0</v>
      </c>
      <c r="PZN2" s="2"/>
      <c r="PZO2" s="2"/>
      <c r="PZP2" s="2"/>
      <c r="PZQ2" s="2"/>
      <c r="PZR2" s="2"/>
      <c r="PZS2" s="2"/>
      <c r="PZT2" s="2"/>
      <c r="PZU2" s="2"/>
      <c r="PZV2" s="2"/>
      <c r="PZW2" s="2"/>
      <c r="PZX2" s="2"/>
      <c r="PZY2" s="2"/>
      <c r="PZZ2" s="2"/>
      <c r="QAA2" s="2"/>
      <c r="QAB2" s="2"/>
      <c r="QAC2" s="2" t="s">
        <v>0</v>
      </c>
      <c r="QAD2" s="2"/>
      <c r="QAE2" s="2"/>
      <c r="QAF2" s="2"/>
      <c r="QAG2" s="2"/>
      <c r="QAH2" s="2"/>
      <c r="QAI2" s="2"/>
      <c r="QAJ2" s="2"/>
      <c r="QAK2" s="2"/>
      <c r="QAL2" s="2"/>
      <c r="QAM2" s="2"/>
      <c r="QAN2" s="2"/>
      <c r="QAO2" s="2"/>
      <c r="QAP2" s="2"/>
      <c r="QAQ2" s="2"/>
      <c r="QAR2" s="2"/>
      <c r="QAS2" s="2" t="s">
        <v>0</v>
      </c>
      <c r="QAT2" s="2"/>
      <c r="QAU2" s="2"/>
      <c r="QAV2" s="2"/>
      <c r="QAW2" s="2"/>
      <c r="QAX2" s="2"/>
      <c r="QAY2" s="2"/>
      <c r="QAZ2" s="2"/>
      <c r="QBA2" s="2"/>
      <c r="QBB2" s="2"/>
      <c r="QBC2" s="2"/>
      <c r="QBD2" s="2"/>
      <c r="QBE2" s="2"/>
      <c r="QBF2" s="2"/>
      <c r="QBG2" s="2"/>
      <c r="QBH2" s="2"/>
      <c r="QBI2" s="2" t="s">
        <v>0</v>
      </c>
      <c r="QBJ2" s="2"/>
      <c r="QBK2" s="2"/>
      <c r="QBL2" s="2"/>
      <c r="QBM2" s="2"/>
      <c r="QBN2" s="2"/>
      <c r="QBO2" s="2"/>
      <c r="QBP2" s="2"/>
      <c r="QBQ2" s="2"/>
      <c r="QBR2" s="2"/>
      <c r="QBS2" s="2"/>
      <c r="QBT2" s="2"/>
      <c r="QBU2" s="2"/>
      <c r="QBV2" s="2"/>
      <c r="QBW2" s="2"/>
      <c r="QBX2" s="2"/>
      <c r="QBY2" s="2" t="s">
        <v>0</v>
      </c>
      <c r="QBZ2" s="2"/>
      <c r="QCA2" s="2"/>
      <c r="QCB2" s="2"/>
      <c r="QCC2" s="2"/>
      <c r="QCD2" s="2"/>
      <c r="QCE2" s="2"/>
      <c r="QCF2" s="2"/>
      <c r="QCG2" s="2"/>
      <c r="QCH2" s="2"/>
      <c r="QCI2" s="2"/>
      <c r="QCJ2" s="2"/>
      <c r="QCK2" s="2"/>
      <c r="QCL2" s="2"/>
      <c r="QCM2" s="2"/>
      <c r="QCN2" s="2"/>
      <c r="QCO2" s="2" t="s">
        <v>0</v>
      </c>
      <c r="QCP2" s="2"/>
      <c r="QCQ2" s="2"/>
      <c r="QCR2" s="2"/>
      <c r="QCS2" s="2"/>
      <c r="QCT2" s="2"/>
      <c r="QCU2" s="2"/>
      <c r="QCV2" s="2"/>
      <c r="QCW2" s="2"/>
      <c r="QCX2" s="2"/>
      <c r="QCY2" s="2"/>
      <c r="QCZ2" s="2"/>
      <c r="QDA2" s="2"/>
      <c r="QDB2" s="2"/>
      <c r="QDC2" s="2"/>
      <c r="QDD2" s="2"/>
      <c r="QDE2" s="2" t="s">
        <v>0</v>
      </c>
      <c r="QDF2" s="2"/>
      <c r="QDG2" s="2"/>
      <c r="QDH2" s="2"/>
      <c r="QDI2" s="2"/>
      <c r="QDJ2" s="2"/>
      <c r="QDK2" s="2"/>
      <c r="QDL2" s="2"/>
      <c r="QDM2" s="2"/>
      <c r="QDN2" s="2"/>
      <c r="QDO2" s="2"/>
      <c r="QDP2" s="2"/>
      <c r="QDQ2" s="2"/>
      <c r="QDR2" s="2"/>
      <c r="QDS2" s="2"/>
      <c r="QDT2" s="2"/>
      <c r="QDU2" s="2" t="s">
        <v>0</v>
      </c>
      <c r="QDV2" s="2"/>
      <c r="QDW2" s="2"/>
      <c r="QDX2" s="2"/>
      <c r="QDY2" s="2"/>
      <c r="QDZ2" s="2"/>
      <c r="QEA2" s="2"/>
      <c r="QEB2" s="2"/>
      <c r="QEC2" s="2"/>
      <c r="QED2" s="2"/>
      <c r="QEE2" s="2"/>
      <c r="QEF2" s="2"/>
      <c r="QEG2" s="2"/>
      <c r="QEH2" s="2"/>
      <c r="QEI2" s="2"/>
      <c r="QEJ2" s="2"/>
      <c r="QEK2" s="2" t="s">
        <v>0</v>
      </c>
      <c r="QEL2" s="2"/>
      <c r="QEM2" s="2"/>
      <c r="QEN2" s="2"/>
      <c r="QEO2" s="2"/>
      <c r="QEP2" s="2"/>
      <c r="QEQ2" s="2"/>
      <c r="QER2" s="2"/>
      <c r="QES2" s="2"/>
      <c r="QET2" s="2"/>
      <c r="QEU2" s="2"/>
      <c r="QEV2" s="2"/>
      <c r="QEW2" s="2"/>
      <c r="QEX2" s="2"/>
      <c r="QEY2" s="2"/>
      <c r="QEZ2" s="2"/>
      <c r="QFA2" s="2" t="s">
        <v>0</v>
      </c>
      <c r="QFB2" s="2"/>
      <c r="QFC2" s="2"/>
      <c r="QFD2" s="2"/>
      <c r="QFE2" s="2"/>
      <c r="QFF2" s="2"/>
      <c r="QFG2" s="2"/>
      <c r="QFH2" s="2"/>
      <c r="QFI2" s="2"/>
      <c r="QFJ2" s="2"/>
      <c r="QFK2" s="2"/>
      <c r="QFL2" s="2"/>
      <c r="QFM2" s="2"/>
      <c r="QFN2" s="2"/>
      <c r="QFO2" s="2"/>
      <c r="QFP2" s="2"/>
      <c r="QFQ2" s="2" t="s">
        <v>0</v>
      </c>
      <c r="QFR2" s="2"/>
      <c r="QFS2" s="2"/>
      <c r="QFT2" s="2"/>
      <c r="QFU2" s="2"/>
      <c r="QFV2" s="2"/>
      <c r="QFW2" s="2"/>
      <c r="QFX2" s="2"/>
      <c r="QFY2" s="2"/>
      <c r="QFZ2" s="2"/>
      <c r="QGA2" s="2"/>
      <c r="QGB2" s="2"/>
      <c r="QGC2" s="2"/>
      <c r="QGD2" s="2"/>
      <c r="QGE2" s="2"/>
      <c r="QGF2" s="2"/>
      <c r="QGG2" s="2" t="s">
        <v>0</v>
      </c>
      <c r="QGH2" s="2"/>
      <c r="QGI2" s="2"/>
      <c r="QGJ2" s="2"/>
      <c r="QGK2" s="2"/>
      <c r="QGL2" s="2"/>
      <c r="QGM2" s="2"/>
      <c r="QGN2" s="2"/>
      <c r="QGO2" s="2"/>
      <c r="QGP2" s="2"/>
      <c r="QGQ2" s="2"/>
      <c r="QGR2" s="2"/>
      <c r="QGS2" s="2"/>
      <c r="QGT2" s="2"/>
      <c r="QGU2" s="2"/>
      <c r="QGV2" s="2"/>
      <c r="QGW2" s="2" t="s">
        <v>0</v>
      </c>
      <c r="QGX2" s="2"/>
      <c r="QGY2" s="2"/>
      <c r="QGZ2" s="2"/>
      <c r="QHA2" s="2"/>
      <c r="QHB2" s="2"/>
      <c r="QHC2" s="2"/>
      <c r="QHD2" s="2"/>
      <c r="QHE2" s="2"/>
      <c r="QHF2" s="2"/>
      <c r="QHG2" s="2"/>
      <c r="QHH2" s="2"/>
      <c r="QHI2" s="2"/>
      <c r="QHJ2" s="2"/>
      <c r="QHK2" s="2"/>
      <c r="QHL2" s="2"/>
      <c r="QHM2" s="2" t="s">
        <v>0</v>
      </c>
      <c r="QHN2" s="2"/>
      <c r="QHO2" s="2"/>
      <c r="QHP2" s="2"/>
      <c r="QHQ2" s="2"/>
      <c r="QHR2" s="2"/>
      <c r="QHS2" s="2"/>
      <c r="QHT2" s="2"/>
      <c r="QHU2" s="2"/>
      <c r="QHV2" s="2"/>
      <c r="QHW2" s="2"/>
      <c r="QHX2" s="2"/>
      <c r="QHY2" s="2"/>
      <c r="QHZ2" s="2"/>
      <c r="QIA2" s="2"/>
      <c r="QIB2" s="2"/>
      <c r="QIC2" s="2" t="s">
        <v>0</v>
      </c>
      <c r="QID2" s="2"/>
      <c r="QIE2" s="2"/>
      <c r="QIF2" s="2"/>
      <c r="QIG2" s="2"/>
      <c r="QIH2" s="2"/>
      <c r="QII2" s="2"/>
      <c r="QIJ2" s="2"/>
      <c r="QIK2" s="2"/>
      <c r="QIL2" s="2"/>
      <c r="QIM2" s="2"/>
      <c r="QIN2" s="2"/>
      <c r="QIO2" s="2"/>
      <c r="QIP2" s="2"/>
      <c r="QIQ2" s="2"/>
      <c r="QIR2" s="2"/>
      <c r="QIS2" s="2" t="s">
        <v>0</v>
      </c>
      <c r="QIT2" s="2"/>
      <c r="QIU2" s="2"/>
      <c r="QIV2" s="2"/>
      <c r="QIW2" s="2"/>
      <c r="QIX2" s="2"/>
      <c r="QIY2" s="2"/>
      <c r="QIZ2" s="2"/>
      <c r="QJA2" s="2"/>
      <c r="QJB2" s="2"/>
      <c r="QJC2" s="2"/>
      <c r="QJD2" s="2"/>
      <c r="QJE2" s="2"/>
      <c r="QJF2" s="2"/>
      <c r="QJG2" s="2"/>
      <c r="QJH2" s="2"/>
      <c r="QJI2" s="2" t="s">
        <v>0</v>
      </c>
      <c r="QJJ2" s="2"/>
      <c r="QJK2" s="2"/>
      <c r="QJL2" s="2"/>
      <c r="QJM2" s="2"/>
      <c r="QJN2" s="2"/>
      <c r="QJO2" s="2"/>
      <c r="QJP2" s="2"/>
      <c r="QJQ2" s="2"/>
      <c r="QJR2" s="2"/>
      <c r="QJS2" s="2"/>
      <c r="QJT2" s="2"/>
      <c r="QJU2" s="2"/>
      <c r="QJV2" s="2"/>
      <c r="QJW2" s="2"/>
      <c r="QJX2" s="2"/>
      <c r="QJY2" s="2" t="s">
        <v>0</v>
      </c>
      <c r="QJZ2" s="2"/>
      <c r="QKA2" s="2"/>
      <c r="QKB2" s="2"/>
      <c r="QKC2" s="2"/>
      <c r="QKD2" s="2"/>
      <c r="QKE2" s="2"/>
      <c r="QKF2" s="2"/>
      <c r="QKG2" s="2"/>
      <c r="QKH2" s="2"/>
      <c r="QKI2" s="2"/>
      <c r="QKJ2" s="2"/>
      <c r="QKK2" s="2"/>
      <c r="QKL2" s="2"/>
      <c r="QKM2" s="2"/>
      <c r="QKN2" s="2"/>
      <c r="QKO2" s="2" t="s">
        <v>0</v>
      </c>
      <c r="QKP2" s="2"/>
      <c r="QKQ2" s="2"/>
      <c r="QKR2" s="2"/>
      <c r="QKS2" s="2"/>
      <c r="QKT2" s="2"/>
      <c r="QKU2" s="2"/>
      <c r="QKV2" s="2"/>
      <c r="QKW2" s="2"/>
      <c r="QKX2" s="2"/>
      <c r="QKY2" s="2"/>
      <c r="QKZ2" s="2"/>
      <c r="QLA2" s="2"/>
      <c r="QLB2" s="2"/>
      <c r="QLC2" s="2"/>
      <c r="QLD2" s="2"/>
      <c r="QLE2" s="2" t="s">
        <v>0</v>
      </c>
      <c r="QLF2" s="2"/>
      <c r="QLG2" s="2"/>
      <c r="QLH2" s="2"/>
      <c r="QLI2" s="2"/>
      <c r="QLJ2" s="2"/>
      <c r="QLK2" s="2"/>
      <c r="QLL2" s="2"/>
      <c r="QLM2" s="2"/>
      <c r="QLN2" s="2"/>
      <c r="QLO2" s="2"/>
      <c r="QLP2" s="2"/>
      <c r="QLQ2" s="2"/>
      <c r="QLR2" s="2"/>
      <c r="QLS2" s="2"/>
      <c r="QLT2" s="2"/>
      <c r="QLU2" s="2" t="s">
        <v>0</v>
      </c>
      <c r="QLV2" s="2"/>
      <c r="QLW2" s="2"/>
      <c r="QLX2" s="2"/>
      <c r="QLY2" s="2"/>
      <c r="QLZ2" s="2"/>
      <c r="QMA2" s="2"/>
      <c r="QMB2" s="2"/>
      <c r="QMC2" s="2"/>
      <c r="QMD2" s="2"/>
      <c r="QME2" s="2"/>
      <c r="QMF2" s="2"/>
      <c r="QMG2" s="2"/>
      <c r="QMH2" s="2"/>
      <c r="QMI2" s="2"/>
      <c r="QMJ2" s="2"/>
      <c r="QMK2" s="2" t="s">
        <v>0</v>
      </c>
      <c r="QML2" s="2"/>
      <c r="QMM2" s="2"/>
      <c r="QMN2" s="2"/>
      <c r="QMO2" s="2"/>
      <c r="QMP2" s="2"/>
      <c r="QMQ2" s="2"/>
      <c r="QMR2" s="2"/>
      <c r="QMS2" s="2"/>
      <c r="QMT2" s="2"/>
      <c r="QMU2" s="2"/>
      <c r="QMV2" s="2"/>
      <c r="QMW2" s="2"/>
      <c r="QMX2" s="2"/>
      <c r="QMY2" s="2"/>
      <c r="QMZ2" s="2"/>
      <c r="QNA2" s="2" t="s">
        <v>0</v>
      </c>
      <c r="QNB2" s="2"/>
      <c r="QNC2" s="2"/>
      <c r="QND2" s="2"/>
      <c r="QNE2" s="2"/>
      <c r="QNF2" s="2"/>
      <c r="QNG2" s="2"/>
      <c r="QNH2" s="2"/>
      <c r="QNI2" s="2"/>
      <c r="QNJ2" s="2"/>
      <c r="QNK2" s="2"/>
      <c r="QNL2" s="2"/>
      <c r="QNM2" s="2"/>
      <c r="QNN2" s="2"/>
      <c r="QNO2" s="2"/>
      <c r="QNP2" s="2"/>
      <c r="QNQ2" s="2" t="s">
        <v>0</v>
      </c>
      <c r="QNR2" s="2"/>
      <c r="QNS2" s="2"/>
      <c r="QNT2" s="2"/>
      <c r="QNU2" s="2"/>
      <c r="QNV2" s="2"/>
      <c r="QNW2" s="2"/>
      <c r="QNX2" s="2"/>
      <c r="QNY2" s="2"/>
      <c r="QNZ2" s="2"/>
      <c r="QOA2" s="2"/>
      <c r="QOB2" s="2"/>
      <c r="QOC2" s="2"/>
      <c r="QOD2" s="2"/>
      <c r="QOE2" s="2"/>
      <c r="QOF2" s="2"/>
      <c r="QOG2" s="2" t="s">
        <v>0</v>
      </c>
      <c r="QOH2" s="2"/>
      <c r="QOI2" s="2"/>
      <c r="QOJ2" s="2"/>
      <c r="QOK2" s="2"/>
      <c r="QOL2" s="2"/>
      <c r="QOM2" s="2"/>
      <c r="QON2" s="2"/>
      <c r="QOO2" s="2"/>
      <c r="QOP2" s="2"/>
      <c r="QOQ2" s="2"/>
      <c r="QOR2" s="2"/>
      <c r="QOS2" s="2"/>
      <c r="QOT2" s="2"/>
      <c r="QOU2" s="2"/>
      <c r="QOV2" s="2"/>
      <c r="QOW2" s="2" t="s">
        <v>0</v>
      </c>
      <c r="QOX2" s="2"/>
      <c r="QOY2" s="2"/>
      <c r="QOZ2" s="2"/>
      <c r="QPA2" s="2"/>
      <c r="QPB2" s="2"/>
      <c r="QPC2" s="2"/>
      <c r="QPD2" s="2"/>
      <c r="QPE2" s="2"/>
      <c r="QPF2" s="2"/>
      <c r="QPG2" s="2"/>
      <c r="QPH2" s="2"/>
      <c r="QPI2" s="2"/>
      <c r="QPJ2" s="2"/>
      <c r="QPK2" s="2"/>
      <c r="QPL2" s="2"/>
      <c r="QPM2" s="2" t="s">
        <v>0</v>
      </c>
      <c r="QPN2" s="2"/>
      <c r="QPO2" s="2"/>
      <c r="QPP2" s="2"/>
      <c r="QPQ2" s="2"/>
      <c r="QPR2" s="2"/>
      <c r="QPS2" s="2"/>
      <c r="QPT2" s="2"/>
      <c r="QPU2" s="2"/>
      <c r="QPV2" s="2"/>
      <c r="QPW2" s="2"/>
      <c r="QPX2" s="2"/>
      <c r="QPY2" s="2"/>
      <c r="QPZ2" s="2"/>
      <c r="QQA2" s="2"/>
      <c r="QQB2" s="2"/>
      <c r="QQC2" s="2" t="s">
        <v>0</v>
      </c>
      <c r="QQD2" s="2"/>
      <c r="QQE2" s="2"/>
      <c r="QQF2" s="2"/>
      <c r="QQG2" s="2"/>
      <c r="QQH2" s="2"/>
      <c r="QQI2" s="2"/>
      <c r="QQJ2" s="2"/>
      <c r="QQK2" s="2"/>
      <c r="QQL2" s="2"/>
      <c r="QQM2" s="2"/>
      <c r="QQN2" s="2"/>
      <c r="QQO2" s="2"/>
      <c r="QQP2" s="2"/>
      <c r="QQQ2" s="2"/>
      <c r="QQR2" s="2"/>
      <c r="QQS2" s="2" t="s">
        <v>0</v>
      </c>
      <c r="QQT2" s="2"/>
      <c r="QQU2" s="2"/>
      <c r="QQV2" s="2"/>
      <c r="QQW2" s="2"/>
      <c r="QQX2" s="2"/>
      <c r="QQY2" s="2"/>
      <c r="QQZ2" s="2"/>
      <c r="QRA2" s="2"/>
      <c r="QRB2" s="2"/>
      <c r="QRC2" s="2"/>
      <c r="QRD2" s="2"/>
      <c r="QRE2" s="2"/>
      <c r="QRF2" s="2"/>
      <c r="QRG2" s="2"/>
      <c r="QRH2" s="2"/>
      <c r="QRI2" s="2" t="s">
        <v>0</v>
      </c>
      <c r="QRJ2" s="2"/>
      <c r="QRK2" s="2"/>
      <c r="QRL2" s="2"/>
      <c r="QRM2" s="2"/>
      <c r="QRN2" s="2"/>
      <c r="QRO2" s="2"/>
      <c r="QRP2" s="2"/>
      <c r="QRQ2" s="2"/>
      <c r="QRR2" s="2"/>
      <c r="QRS2" s="2"/>
      <c r="QRT2" s="2"/>
      <c r="QRU2" s="2"/>
      <c r="QRV2" s="2"/>
      <c r="QRW2" s="2"/>
      <c r="QRX2" s="2"/>
      <c r="QRY2" s="2" t="s">
        <v>0</v>
      </c>
      <c r="QRZ2" s="2"/>
      <c r="QSA2" s="2"/>
      <c r="QSB2" s="2"/>
      <c r="QSC2" s="2"/>
      <c r="QSD2" s="2"/>
      <c r="QSE2" s="2"/>
      <c r="QSF2" s="2"/>
      <c r="QSG2" s="2"/>
      <c r="QSH2" s="2"/>
      <c r="QSI2" s="2"/>
      <c r="QSJ2" s="2"/>
      <c r="QSK2" s="2"/>
      <c r="QSL2" s="2"/>
      <c r="QSM2" s="2"/>
      <c r="QSN2" s="2"/>
      <c r="QSO2" s="2" t="s">
        <v>0</v>
      </c>
      <c r="QSP2" s="2"/>
      <c r="QSQ2" s="2"/>
      <c r="QSR2" s="2"/>
      <c r="QSS2" s="2"/>
      <c r="QST2" s="2"/>
      <c r="QSU2" s="2"/>
      <c r="QSV2" s="2"/>
      <c r="QSW2" s="2"/>
      <c r="QSX2" s="2"/>
      <c r="QSY2" s="2"/>
      <c r="QSZ2" s="2"/>
      <c r="QTA2" s="2"/>
      <c r="QTB2" s="2"/>
      <c r="QTC2" s="2"/>
      <c r="QTD2" s="2"/>
      <c r="QTE2" s="2" t="s">
        <v>0</v>
      </c>
      <c r="QTF2" s="2"/>
      <c r="QTG2" s="2"/>
      <c r="QTH2" s="2"/>
      <c r="QTI2" s="2"/>
      <c r="QTJ2" s="2"/>
      <c r="QTK2" s="2"/>
      <c r="QTL2" s="2"/>
      <c r="QTM2" s="2"/>
      <c r="QTN2" s="2"/>
      <c r="QTO2" s="2"/>
      <c r="QTP2" s="2"/>
      <c r="QTQ2" s="2"/>
      <c r="QTR2" s="2"/>
      <c r="QTS2" s="2"/>
      <c r="QTT2" s="2"/>
      <c r="QTU2" s="2" t="s">
        <v>0</v>
      </c>
      <c r="QTV2" s="2"/>
      <c r="QTW2" s="2"/>
      <c r="QTX2" s="2"/>
      <c r="QTY2" s="2"/>
      <c r="QTZ2" s="2"/>
      <c r="QUA2" s="2"/>
      <c r="QUB2" s="2"/>
      <c r="QUC2" s="2"/>
      <c r="QUD2" s="2"/>
      <c r="QUE2" s="2"/>
      <c r="QUF2" s="2"/>
      <c r="QUG2" s="2"/>
      <c r="QUH2" s="2"/>
      <c r="QUI2" s="2"/>
      <c r="QUJ2" s="2"/>
      <c r="QUK2" s="2" t="s">
        <v>0</v>
      </c>
      <c r="QUL2" s="2"/>
      <c r="QUM2" s="2"/>
      <c r="QUN2" s="2"/>
      <c r="QUO2" s="2"/>
      <c r="QUP2" s="2"/>
      <c r="QUQ2" s="2"/>
      <c r="QUR2" s="2"/>
      <c r="QUS2" s="2"/>
      <c r="QUT2" s="2"/>
      <c r="QUU2" s="2"/>
      <c r="QUV2" s="2"/>
      <c r="QUW2" s="2"/>
      <c r="QUX2" s="2"/>
      <c r="QUY2" s="2"/>
      <c r="QUZ2" s="2"/>
      <c r="QVA2" s="2" t="s">
        <v>0</v>
      </c>
      <c r="QVB2" s="2"/>
      <c r="QVC2" s="2"/>
      <c r="QVD2" s="2"/>
      <c r="QVE2" s="2"/>
      <c r="QVF2" s="2"/>
      <c r="QVG2" s="2"/>
      <c r="QVH2" s="2"/>
      <c r="QVI2" s="2"/>
      <c r="QVJ2" s="2"/>
      <c r="QVK2" s="2"/>
      <c r="QVL2" s="2"/>
      <c r="QVM2" s="2"/>
      <c r="QVN2" s="2"/>
      <c r="QVO2" s="2"/>
      <c r="QVP2" s="2"/>
      <c r="QVQ2" s="2" t="s">
        <v>0</v>
      </c>
      <c r="QVR2" s="2"/>
      <c r="QVS2" s="2"/>
      <c r="QVT2" s="2"/>
      <c r="QVU2" s="2"/>
      <c r="QVV2" s="2"/>
      <c r="QVW2" s="2"/>
      <c r="QVX2" s="2"/>
      <c r="QVY2" s="2"/>
      <c r="QVZ2" s="2"/>
      <c r="QWA2" s="2"/>
      <c r="QWB2" s="2"/>
      <c r="QWC2" s="2"/>
      <c r="QWD2" s="2"/>
      <c r="QWE2" s="2"/>
      <c r="QWF2" s="2"/>
      <c r="QWG2" s="2" t="s">
        <v>0</v>
      </c>
      <c r="QWH2" s="2"/>
      <c r="QWI2" s="2"/>
      <c r="QWJ2" s="2"/>
      <c r="QWK2" s="2"/>
      <c r="QWL2" s="2"/>
      <c r="QWM2" s="2"/>
      <c r="QWN2" s="2"/>
      <c r="QWO2" s="2"/>
      <c r="QWP2" s="2"/>
      <c r="QWQ2" s="2"/>
      <c r="QWR2" s="2"/>
      <c r="QWS2" s="2"/>
      <c r="QWT2" s="2"/>
      <c r="QWU2" s="2"/>
      <c r="QWV2" s="2"/>
      <c r="QWW2" s="2" t="s">
        <v>0</v>
      </c>
      <c r="QWX2" s="2"/>
      <c r="QWY2" s="2"/>
      <c r="QWZ2" s="2"/>
      <c r="QXA2" s="2"/>
      <c r="QXB2" s="2"/>
      <c r="QXC2" s="2"/>
      <c r="QXD2" s="2"/>
      <c r="QXE2" s="2"/>
      <c r="QXF2" s="2"/>
      <c r="QXG2" s="2"/>
      <c r="QXH2" s="2"/>
      <c r="QXI2" s="2"/>
      <c r="QXJ2" s="2"/>
      <c r="QXK2" s="2"/>
      <c r="QXL2" s="2"/>
      <c r="QXM2" s="2" t="s">
        <v>0</v>
      </c>
      <c r="QXN2" s="2"/>
      <c r="QXO2" s="2"/>
      <c r="QXP2" s="2"/>
      <c r="QXQ2" s="2"/>
      <c r="QXR2" s="2"/>
      <c r="QXS2" s="2"/>
      <c r="QXT2" s="2"/>
      <c r="QXU2" s="2"/>
      <c r="QXV2" s="2"/>
      <c r="QXW2" s="2"/>
      <c r="QXX2" s="2"/>
      <c r="QXY2" s="2"/>
      <c r="QXZ2" s="2"/>
      <c r="QYA2" s="2"/>
      <c r="QYB2" s="2"/>
      <c r="QYC2" s="2" t="s">
        <v>0</v>
      </c>
      <c r="QYD2" s="2"/>
      <c r="QYE2" s="2"/>
      <c r="QYF2" s="2"/>
      <c r="QYG2" s="2"/>
      <c r="QYH2" s="2"/>
      <c r="QYI2" s="2"/>
      <c r="QYJ2" s="2"/>
      <c r="QYK2" s="2"/>
      <c r="QYL2" s="2"/>
      <c r="QYM2" s="2"/>
      <c r="QYN2" s="2"/>
      <c r="QYO2" s="2"/>
      <c r="QYP2" s="2"/>
      <c r="QYQ2" s="2"/>
      <c r="QYR2" s="2"/>
      <c r="QYS2" s="2" t="s">
        <v>0</v>
      </c>
      <c r="QYT2" s="2"/>
      <c r="QYU2" s="2"/>
      <c r="QYV2" s="2"/>
      <c r="QYW2" s="2"/>
      <c r="QYX2" s="2"/>
      <c r="QYY2" s="2"/>
      <c r="QYZ2" s="2"/>
      <c r="QZA2" s="2"/>
      <c r="QZB2" s="2"/>
      <c r="QZC2" s="2"/>
      <c r="QZD2" s="2"/>
      <c r="QZE2" s="2"/>
      <c r="QZF2" s="2"/>
      <c r="QZG2" s="2"/>
      <c r="QZH2" s="2"/>
      <c r="QZI2" s="2" t="s">
        <v>0</v>
      </c>
      <c r="QZJ2" s="2"/>
      <c r="QZK2" s="2"/>
      <c r="QZL2" s="2"/>
      <c r="QZM2" s="2"/>
      <c r="QZN2" s="2"/>
      <c r="QZO2" s="2"/>
      <c r="QZP2" s="2"/>
      <c r="QZQ2" s="2"/>
      <c r="QZR2" s="2"/>
      <c r="QZS2" s="2"/>
      <c r="QZT2" s="2"/>
      <c r="QZU2" s="2"/>
      <c r="QZV2" s="2"/>
      <c r="QZW2" s="2"/>
      <c r="QZX2" s="2"/>
      <c r="QZY2" s="2" t="s">
        <v>0</v>
      </c>
      <c r="QZZ2" s="2"/>
      <c r="RAA2" s="2"/>
      <c r="RAB2" s="2"/>
      <c r="RAC2" s="2"/>
      <c r="RAD2" s="2"/>
      <c r="RAE2" s="2"/>
      <c r="RAF2" s="2"/>
      <c r="RAG2" s="2"/>
      <c r="RAH2" s="2"/>
      <c r="RAI2" s="2"/>
      <c r="RAJ2" s="2"/>
      <c r="RAK2" s="2"/>
      <c r="RAL2" s="2"/>
      <c r="RAM2" s="2"/>
      <c r="RAN2" s="2"/>
      <c r="RAO2" s="2" t="s">
        <v>0</v>
      </c>
      <c r="RAP2" s="2"/>
      <c r="RAQ2" s="2"/>
      <c r="RAR2" s="2"/>
      <c r="RAS2" s="2"/>
      <c r="RAT2" s="2"/>
      <c r="RAU2" s="2"/>
      <c r="RAV2" s="2"/>
      <c r="RAW2" s="2"/>
      <c r="RAX2" s="2"/>
      <c r="RAY2" s="2"/>
      <c r="RAZ2" s="2"/>
      <c r="RBA2" s="2"/>
      <c r="RBB2" s="2"/>
      <c r="RBC2" s="2"/>
      <c r="RBD2" s="2"/>
      <c r="RBE2" s="2" t="s">
        <v>0</v>
      </c>
      <c r="RBF2" s="2"/>
      <c r="RBG2" s="2"/>
      <c r="RBH2" s="2"/>
      <c r="RBI2" s="2"/>
      <c r="RBJ2" s="2"/>
      <c r="RBK2" s="2"/>
      <c r="RBL2" s="2"/>
      <c r="RBM2" s="2"/>
      <c r="RBN2" s="2"/>
      <c r="RBO2" s="2"/>
      <c r="RBP2" s="2"/>
      <c r="RBQ2" s="2"/>
      <c r="RBR2" s="2"/>
      <c r="RBS2" s="2"/>
      <c r="RBT2" s="2"/>
      <c r="RBU2" s="2" t="s">
        <v>0</v>
      </c>
      <c r="RBV2" s="2"/>
      <c r="RBW2" s="2"/>
      <c r="RBX2" s="2"/>
      <c r="RBY2" s="2"/>
      <c r="RBZ2" s="2"/>
      <c r="RCA2" s="2"/>
      <c r="RCB2" s="2"/>
      <c r="RCC2" s="2"/>
      <c r="RCD2" s="2"/>
      <c r="RCE2" s="2"/>
      <c r="RCF2" s="2"/>
      <c r="RCG2" s="2"/>
      <c r="RCH2" s="2"/>
      <c r="RCI2" s="2"/>
      <c r="RCJ2" s="2"/>
      <c r="RCK2" s="2" t="s">
        <v>0</v>
      </c>
      <c r="RCL2" s="2"/>
      <c r="RCM2" s="2"/>
      <c r="RCN2" s="2"/>
      <c r="RCO2" s="2"/>
      <c r="RCP2" s="2"/>
      <c r="RCQ2" s="2"/>
      <c r="RCR2" s="2"/>
      <c r="RCS2" s="2"/>
      <c r="RCT2" s="2"/>
      <c r="RCU2" s="2"/>
      <c r="RCV2" s="2"/>
      <c r="RCW2" s="2"/>
      <c r="RCX2" s="2"/>
      <c r="RCY2" s="2"/>
      <c r="RCZ2" s="2"/>
      <c r="RDA2" s="2" t="s">
        <v>0</v>
      </c>
      <c r="RDB2" s="2"/>
      <c r="RDC2" s="2"/>
      <c r="RDD2" s="2"/>
      <c r="RDE2" s="2"/>
      <c r="RDF2" s="2"/>
      <c r="RDG2" s="2"/>
      <c r="RDH2" s="2"/>
      <c r="RDI2" s="2"/>
      <c r="RDJ2" s="2"/>
      <c r="RDK2" s="2"/>
      <c r="RDL2" s="2"/>
      <c r="RDM2" s="2"/>
      <c r="RDN2" s="2"/>
      <c r="RDO2" s="2"/>
      <c r="RDP2" s="2"/>
      <c r="RDQ2" s="2" t="s">
        <v>0</v>
      </c>
      <c r="RDR2" s="2"/>
      <c r="RDS2" s="2"/>
      <c r="RDT2" s="2"/>
      <c r="RDU2" s="2"/>
      <c r="RDV2" s="2"/>
      <c r="RDW2" s="2"/>
      <c r="RDX2" s="2"/>
      <c r="RDY2" s="2"/>
      <c r="RDZ2" s="2"/>
      <c r="REA2" s="2"/>
      <c r="REB2" s="2"/>
      <c r="REC2" s="2"/>
      <c r="RED2" s="2"/>
      <c r="REE2" s="2"/>
      <c r="REF2" s="2"/>
      <c r="REG2" s="2" t="s">
        <v>0</v>
      </c>
      <c r="REH2" s="2"/>
      <c r="REI2" s="2"/>
      <c r="REJ2" s="2"/>
      <c r="REK2" s="2"/>
      <c r="REL2" s="2"/>
      <c r="REM2" s="2"/>
      <c r="REN2" s="2"/>
      <c r="REO2" s="2"/>
      <c r="REP2" s="2"/>
      <c r="REQ2" s="2"/>
      <c r="RER2" s="2"/>
      <c r="RES2" s="2"/>
      <c r="RET2" s="2"/>
      <c r="REU2" s="2"/>
      <c r="REV2" s="2"/>
      <c r="REW2" s="2" t="s">
        <v>0</v>
      </c>
      <c r="REX2" s="2"/>
      <c r="REY2" s="2"/>
      <c r="REZ2" s="2"/>
      <c r="RFA2" s="2"/>
      <c r="RFB2" s="2"/>
      <c r="RFC2" s="2"/>
      <c r="RFD2" s="2"/>
      <c r="RFE2" s="2"/>
      <c r="RFF2" s="2"/>
      <c r="RFG2" s="2"/>
      <c r="RFH2" s="2"/>
      <c r="RFI2" s="2"/>
      <c r="RFJ2" s="2"/>
      <c r="RFK2" s="2"/>
      <c r="RFL2" s="2"/>
      <c r="RFM2" s="2" t="s">
        <v>0</v>
      </c>
      <c r="RFN2" s="2"/>
      <c r="RFO2" s="2"/>
      <c r="RFP2" s="2"/>
      <c r="RFQ2" s="2"/>
      <c r="RFR2" s="2"/>
      <c r="RFS2" s="2"/>
      <c r="RFT2" s="2"/>
      <c r="RFU2" s="2"/>
      <c r="RFV2" s="2"/>
      <c r="RFW2" s="2"/>
      <c r="RFX2" s="2"/>
      <c r="RFY2" s="2"/>
      <c r="RFZ2" s="2"/>
      <c r="RGA2" s="2"/>
      <c r="RGB2" s="2"/>
      <c r="RGC2" s="2" t="s">
        <v>0</v>
      </c>
      <c r="RGD2" s="2"/>
      <c r="RGE2" s="2"/>
      <c r="RGF2" s="2"/>
      <c r="RGG2" s="2"/>
      <c r="RGH2" s="2"/>
      <c r="RGI2" s="2"/>
      <c r="RGJ2" s="2"/>
      <c r="RGK2" s="2"/>
      <c r="RGL2" s="2"/>
      <c r="RGM2" s="2"/>
      <c r="RGN2" s="2"/>
      <c r="RGO2" s="2"/>
      <c r="RGP2" s="2"/>
      <c r="RGQ2" s="2"/>
      <c r="RGR2" s="2"/>
      <c r="RGS2" s="2" t="s">
        <v>0</v>
      </c>
      <c r="RGT2" s="2"/>
      <c r="RGU2" s="2"/>
      <c r="RGV2" s="2"/>
      <c r="RGW2" s="2"/>
      <c r="RGX2" s="2"/>
      <c r="RGY2" s="2"/>
      <c r="RGZ2" s="2"/>
      <c r="RHA2" s="2"/>
      <c r="RHB2" s="2"/>
      <c r="RHC2" s="2"/>
      <c r="RHD2" s="2"/>
      <c r="RHE2" s="2"/>
      <c r="RHF2" s="2"/>
      <c r="RHG2" s="2"/>
      <c r="RHH2" s="2"/>
      <c r="RHI2" s="2" t="s">
        <v>0</v>
      </c>
      <c r="RHJ2" s="2"/>
      <c r="RHK2" s="2"/>
      <c r="RHL2" s="2"/>
      <c r="RHM2" s="2"/>
      <c r="RHN2" s="2"/>
      <c r="RHO2" s="2"/>
      <c r="RHP2" s="2"/>
      <c r="RHQ2" s="2"/>
      <c r="RHR2" s="2"/>
      <c r="RHS2" s="2"/>
      <c r="RHT2" s="2"/>
      <c r="RHU2" s="2"/>
      <c r="RHV2" s="2"/>
      <c r="RHW2" s="2"/>
      <c r="RHX2" s="2"/>
      <c r="RHY2" s="2" t="s">
        <v>0</v>
      </c>
      <c r="RHZ2" s="2"/>
      <c r="RIA2" s="2"/>
      <c r="RIB2" s="2"/>
      <c r="RIC2" s="2"/>
      <c r="RID2" s="2"/>
      <c r="RIE2" s="2"/>
      <c r="RIF2" s="2"/>
      <c r="RIG2" s="2"/>
      <c r="RIH2" s="2"/>
      <c r="RII2" s="2"/>
      <c r="RIJ2" s="2"/>
      <c r="RIK2" s="2"/>
      <c r="RIL2" s="2"/>
      <c r="RIM2" s="2"/>
      <c r="RIN2" s="2"/>
      <c r="RIO2" s="2" t="s">
        <v>0</v>
      </c>
      <c r="RIP2" s="2"/>
      <c r="RIQ2" s="2"/>
      <c r="RIR2" s="2"/>
      <c r="RIS2" s="2"/>
      <c r="RIT2" s="2"/>
      <c r="RIU2" s="2"/>
      <c r="RIV2" s="2"/>
      <c r="RIW2" s="2"/>
      <c r="RIX2" s="2"/>
      <c r="RIY2" s="2"/>
      <c r="RIZ2" s="2"/>
      <c r="RJA2" s="2"/>
      <c r="RJB2" s="2"/>
      <c r="RJC2" s="2"/>
      <c r="RJD2" s="2"/>
      <c r="RJE2" s="2" t="s">
        <v>0</v>
      </c>
      <c r="RJF2" s="2"/>
      <c r="RJG2" s="2"/>
      <c r="RJH2" s="2"/>
      <c r="RJI2" s="2"/>
      <c r="RJJ2" s="2"/>
      <c r="RJK2" s="2"/>
      <c r="RJL2" s="2"/>
      <c r="RJM2" s="2"/>
      <c r="RJN2" s="2"/>
      <c r="RJO2" s="2"/>
      <c r="RJP2" s="2"/>
      <c r="RJQ2" s="2"/>
      <c r="RJR2" s="2"/>
      <c r="RJS2" s="2"/>
      <c r="RJT2" s="2"/>
      <c r="RJU2" s="2" t="s">
        <v>0</v>
      </c>
      <c r="RJV2" s="2"/>
      <c r="RJW2" s="2"/>
      <c r="RJX2" s="2"/>
      <c r="RJY2" s="2"/>
      <c r="RJZ2" s="2"/>
      <c r="RKA2" s="2"/>
      <c r="RKB2" s="2"/>
      <c r="RKC2" s="2"/>
      <c r="RKD2" s="2"/>
      <c r="RKE2" s="2"/>
      <c r="RKF2" s="2"/>
      <c r="RKG2" s="2"/>
      <c r="RKH2" s="2"/>
      <c r="RKI2" s="2"/>
      <c r="RKJ2" s="2"/>
      <c r="RKK2" s="2" t="s">
        <v>0</v>
      </c>
      <c r="RKL2" s="2"/>
      <c r="RKM2" s="2"/>
      <c r="RKN2" s="2"/>
      <c r="RKO2" s="2"/>
      <c r="RKP2" s="2"/>
      <c r="RKQ2" s="2"/>
      <c r="RKR2" s="2"/>
      <c r="RKS2" s="2"/>
      <c r="RKT2" s="2"/>
      <c r="RKU2" s="2"/>
      <c r="RKV2" s="2"/>
      <c r="RKW2" s="2"/>
      <c r="RKX2" s="2"/>
      <c r="RKY2" s="2"/>
      <c r="RKZ2" s="2"/>
      <c r="RLA2" s="2" t="s">
        <v>0</v>
      </c>
      <c r="RLB2" s="2"/>
      <c r="RLC2" s="2"/>
      <c r="RLD2" s="2"/>
      <c r="RLE2" s="2"/>
      <c r="RLF2" s="2"/>
      <c r="RLG2" s="2"/>
      <c r="RLH2" s="2"/>
      <c r="RLI2" s="2"/>
      <c r="RLJ2" s="2"/>
      <c r="RLK2" s="2"/>
      <c r="RLL2" s="2"/>
      <c r="RLM2" s="2"/>
      <c r="RLN2" s="2"/>
      <c r="RLO2" s="2"/>
      <c r="RLP2" s="2"/>
      <c r="RLQ2" s="2" t="s">
        <v>0</v>
      </c>
      <c r="RLR2" s="2"/>
      <c r="RLS2" s="2"/>
      <c r="RLT2" s="2"/>
      <c r="RLU2" s="2"/>
      <c r="RLV2" s="2"/>
      <c r="RLW2" s="2"/>
      <c r="RLX2" s="2"/>
      <c r="RLY2" s="2"/>
      <c r="RLZ2" s="2"/>
      <c r="RMA2" s="2"/>
      <c r="RMB2" s="2"/>
      <c r="RMC2" s="2"/>
      <c r="RMD2" s="2"/>
      <c r="RME2" s="2"/>
      <c r="RMF2" s="2"/>
      <c r="RMG2" s="2" t="s">
        <v>0</v>
      </c>
      <c r="RMH2" s="2"/>
      <c r="RMI2" s="2"/>
      <c r="RMJ2" s="2"/>
      <c r="RMK2" s="2"/>
      <c r="RML2" s="2"/>
      <c r="RMM2" s="2"/>
      <c r="RMN2" s="2"/>
      <c r="RMO2" s="2"/>
      <c r="RMP2" s="2"/>
      <c r="RMQ2" s="2"/>
      <c r="RMR2" s="2"/>
      <c r="RMS2" s="2"/>
      <c r="RMT2" s="2"/>
      <c r="RMU2" s="2"/>
      <c r="RMV2" s="2"/>
      <c r="RMW2" s="2" t="s">
        <v>0</v>
      </c>
      <c r="RMX2" s="2"/>
      <c r="RMY2" s="2"/>
      <c r="RMZ2" s="2"/>
      <c r="RNA2" s="2"/>
      <c r="RNB2" s="2"/>
      <c r="RNC2" s="2"/>
      <c r="RND2" s="2"/>
      <c r="RNE2" s="2"/>
      <c r="RNF2" s="2"/>
      <c r="RNG2" s="2"/>
      <c r="RNH2" s="2"/>
      <c r="RNI2" s="2"/>
      <c r="RNJ2" s="2"/>
      <c r="RNK2" s="2"/>
      <c r="RNL2" s="2"/>
      <c r="RNM2" s="2" t="s">
        <v>0</v>
      </c>
      <c r="RNN2" s="2"/>
      <c r="RNO2" s="2"/>
      <c r="RNP2" s="2"/>
      <c r="RNQ2" s="2"/>
      <c r="RNR2" s="2"/>
      <c r="RNS2" s="2"/>
      <c r="RNT2" s="2"/>
      <c r="RNU2" s="2"/>
      <c r="RNV2" s="2"/>
      <c r="RNW2" s="2"/>
      <c r="RNX2" s="2"/>
      <c r="RNY2" s="2"/>
      <c r="RNZ2" s="2"/>
      <c r="ROA2" s="2"/>
      <c r="ROB2" s="2"/>
      <c r="ROC2" s="2" t="s">
        <v>0</v>
      </c>
      <c r="ROD2" s="2"/>
      <c r="ROE2" s="2"/>
      <c r="ROF2" s="2"/>
      <c r="ROG2" s="2"/>
      <c r="ROH2" s="2"/>
      <c r="ROI2" s="2"/>
      <c r="ROJ2" s="2"/>
      <c r="ROK2" s="2"/>
      <c r="ROL2" s="2"/>
      <c r="ROM2" s="2"/>
      <c r="RON2" s="2"/>
      <c r="ROO2" s="2"/>
      <c r="ROP2" s="2"/>
      <c r="ROQ2" s="2"/>
      <c r="ROR2" s="2"/>
      <c r="ROS2" s="2" t="s">
        <v>0</v>
      </c>
      <c r="ROT2" s="2"/>
      <c r="ROU2" s="2"/>
      <c r="ROV2" s="2"/>
      <c r="ROW2" s="2"/>
      <c r="ROX2" s="2"/>
      <c r="ROY2" s="2"/>
      <c r="ROZ2" s="2"/>
      <c r="RPA2" s="2"/>
      <c r="RPB2" s="2"/>
      <c r="RPC2" s="2"/>
      <c r="RPD2" s="2"/>
      <c r="RPE2" s="2"/>
      <c r="RPF2" s="2"/>
      <c r="RPG2" s="2"/>
      <c r="RPH2" s="2"/>
      <c r="RPI2" s="2" t="s">
        <v>0</v>
      </c>
      <c r="RPJ2" s="2"/>
      <c r="RPK2" s="2"/>
      <c r="RPL2" s="2"/>
      <c r="RPM2" s="2"/>
      <c r="RPN2" s="2"/>
      <c r="RPO2" s="2"/>
      <c r="RPP2" s="2"/>
      <c r="RPQ2" s="2"/>
      <c r="RPR2" s="2"/>
      <c r="RPS2" s="2"/>
      <c r="RPT2" s="2"/>
      <c r="RPU2" s="2"/>
      <c r="RPV2" s="2"/>
      <c r="RPW2" s="2"/>
      <c r="RPX2" s="2"/>
      <c r="RPY2" s="2" t="s">
        <v>0</v>
      </c>
      <c r="RPZ2" s="2"/>
      <c r="RQA2" s="2"/>
      <c r="RQB2" s="2"/>
      <c r="RQC2" s="2"/>
      <c r="RQD2" s="2"/>
      <c r="RQE2" s="2"/>
      <c r="RQF2" s="2"/>
      <c r="RQG2" s="2"/>
      <c r="RQH2" s="2"/>
      <c r="RQI2" s="2"/>
      <c r="RQJ2" s="2"/>
      <c r="RQK2" s="2"/>
      <c r="RQL2" s="2"/>
      <c r="RQM2" s="2"/>
      <c r="RQN2" s="2"/>
      <c r="RQO2" s="2" t="s">
        <v>0</v>
      </c>
      <c r="RQP2" s="2"/>
      <c r="RQQ2" s="2"/>
      <c r="RQR2" s="2"/>
      <c r="RQS2" s="2"/>
      <c r="RQT2" s="2"/>
      <c r="RQU2" s="2"/>
      <c r="RQV2" s="2"/>
      <c r="RQW2" s="2"/>
      <c r="RQX2" s="2"/>
      <c r="RQY2" s="2"/>
      <c r="RQZ2" s="2"/>
      <c r="RRA2" s="2"/>
      <c r="RRB2" s="2"/>
      <c r="RRC2" s="2"/>
      <c r="RRD2" s="2"/>
      <c r="RRE2" s="2" t="s">
        <v>0</v>
      </c>
      <c r="RRF2" s="2"/>
      <c r="RRG2" s="2"/>
      <c r="RRH2" s="2"/>
      <c r="RRI2" s="2"/>
      <c r="RRJ2" s="2"/>
      <c r="RRK2" s="2"/>
      <c r="RRL2" s="2"/>
      <c r="RRM2" s="2"/>
      <c r="RRN2" s="2"/>
      <c r="RRO2" s="2"/>
      <c r="RRP2" s="2"/>
      <c r="RRQ2" s="2"/>
      <c r="RRR2" s="2"/>
      <c r="RRS2" s="2"/>
      <c r="RRT2" s="2"/>
      <c r="RRU2" s="2" t="s">
        <v>0</v>
      </c>
      <c r="RRV2" s="2"/>
      <c r="RRW2" s="2"/>
      <c r="RRX2" s="2"/>
      <c r="RRY2" s="2"/>
      <c r="RRZ2" s="2"/>
      <c r="RSA2" s="2"/>
      <c r="RSB2" s="2"/>
      <c r="RSC2" s="2"/>
      <c r="RSD2" s="2"/>
      <c r="RSE2" s="2"/>
      <c r="RSF2" s="2"/>
      <c r="RSG2" s="2"/>
      <c r="RSH2" s="2"/>
      <c r="RSI2" s="2"/>
      <c r="RSJ2" s="2"/>
      <c r="RSK2" s="2" t="s">
        <v>0</v>
      </c>
      <c r="RSL2" s="2"/>
      <c r="RSM2" s="2"/>
      <c r="RSN2" s="2"/>
      <c r="RSO2" s="2"/>
      <c r="RSP2" s="2"/>
      <c r="RSQ2" s="2"/>
      <c r="RSR2" s="2"/>
      <c r="RSS2" s="2"/>
      <c r="RST2" s="2"/>
      <c r="RSU2" s="2"/>
      <c r="RSV2" s="2"/>
      <c r="RSW2" s="2"/>
      <c r="RSX2" s="2"/>
      <c r="RSY2" s="2"/>
      <c r="RSZ2" s="2"/>
      <c r="RTA2" s="2" t="s">
        <v>0</v>
      </c>
      <c r="RTB2" s="2"/>
      <c r="RTC2" s="2"/>
      <c r="RTD2" s="2"/>
      <c r="RTE2" s="2"/>
      <c r="RTF2" s="2"/>
      <c r="RTG2" s="2"/>
      <c r="RTH2" s="2"/>
      <c r="RTI2" s="2"/>
      <c r="RTJ2" s="2"/>
      <c r="RTK2" s="2"/>
      <c r="RTL2" s="2"/>
      <c r="RTM2" s="2"/>
      <c r="RTN2" s="2"/>
      <c r="RTO2" s="2"/>
      <c r="RTP2" s="2"/>
      <c r="RTQ2" s="2" t="s">
        <v>0</v>
      </c>
      <c r="RTR2" s="2"/>
      <c r="RTS2" s="2"/>
      <c r="RTT2" s="2"/>
      <c r="RTU2" s="2"/>
      <c r="RTV2" s="2"/>
      <c r="RTW2" s="2"/>
      <c r="RTX2" s="2"/>
      <c r="RTY2" s="2"/>
      <c r="RTZ2" s="2"/>
      <c r="RUA2" s="2"/>
      <c r="RUB2" s="2"/>
      <c r="RUC2" s="2"/>
      <c r="RUD2" s="2"/>
      <c r="RUE2" s="2"/>
      <c r="RUF2" s="2"/>
      <c r="RUG2" s="2" t="s">
        <v>0</v>
      </c>
      <c r="RUH2" s="2"/>
      <c r="RUI2" s="2"/>
      <c r="RUJ2" s="2"/>
      <c r="RUK2" s="2"/>
      <c r="RUL2" s="2"/>
      <c r="RUM2" s="2"/>
      <c r="RUN2" s="2"/>
      <c r="RUO2" s="2"/>
      <c r="RUP2" s="2"/>
      <c r="RUQ2" s="2"/>
      <c r="RUR2" s="2"/>
      <c r="RUS2" s="2"/>
      <c r="RUT2" s="2"/>
      <c r="RUU2" s="2"/>
      <c r="RUV2" s="2"/>
      <c r="RUW2" s="2" t="s">
        <v>0</v>
      </c>
      <c r="RUX2" s="2"/>
      <c r="RUY2" s="2"/>
      <c r="RUZ2" s="2"/>
      <c r="RVA2" s="2"/>
      <c r="RVB2" s="2"/>
      <c r="RVC2" s="2"/>
      <c r="RVD2" s="2"/>
      <c r="RVE2" s="2"/>
      <c r="RVF2" s="2"/>
      <c r="RVG2" s="2"/>
      <c r="RVH2" s="2"/>
      <c r="RVI2" s="2"/>
      <c r="RVJ2" s="2"/>
      <c r="RVK2" s="2"/>
      <c r="RVL2" s="2"/>
      <c r="RVM2" s="2" t="s">
        <v>0</v>
      </c>
      <c r="RVN2" s="2"/>
      <c r="RVO2" s="2"/>
      <c r="RVP2" s="2"/>
      <c r="RVQ2" s="2"/>
      <c r="RVR2" s="2"/>
      <c r="RVS2" s="2"/>
      <c r="RVT2" s="2"/>
      <c r="RVU2" s="2"/>
      <c r="RVV2" s="2"/>
      <c r="RVW2" s="2"/>
      <c r="RVX2" s="2"/>
      <c r="RVY2" s="2"/>
      <c r="RVZ2" s="2"/>
      <c r="RWA2" s="2"/>
      <c r="RWB2" s="2"/>
      <c r="RWC2" s="2" t="s">
        <v>0</v>
      </c>
      <c r="RWD2" s="2"/>
      <c r="RWE2" s="2"/>
      <c r="RWF2" s="2"/>
      <c r="RWG2" s="2"/>
      <c r="RWH2" s="2"/>
      <c r="RWI2" s="2"/>
      <c r="RWJ2" s="2"/>
      <c r="RWK2" s="2"/>
      <c r="RWL2" s="2"/>
      <c r="RWM2" s="2"/>
      <c r="RWN2" s="2"/>
      <c r="RWO2" s="2"/>
      <c r="RWP2" s="2"/>
      <c r="RWQ2" s="2"/>
      <c r="RWR2" s="2"/>
      <c r="RWS2" s="2" t="s">
        <v>0</v>
      </c>
      <c r="RWT2" s="2"/>
      <c r="RWU2" s="2"/>
      <c r="RWV2" s="2"/>
      <c r="RWW2" s="2"/>
      <c r="RWX2" s="2"/>
      <c r="RWY2" s="2"/>
      <c r="RWZ2" s="2"/>
      <c r="RXA2" s="2"/>
      <c r="RXB2" s="2"/>
      <c r="RXC2" s="2"/>
      <c r="RXD2" s="2"/>
      <c r="RXE2" s="2"/>
      <c r="RXF2" s="2"/>
      <c r="RXG2" s="2"/>
      <c r="RXH2" s="2"/>
      <c r="RXI2" s="2" t="s">
        <v>0</v>
      </c>
      <c r="RXJ2" s="2"/>
      <c r="RXK2" s="2"/>
      <c r="RXL2" s="2"/>
      <c r="RXM2" s="2"/>
      <c r="RXN2" s="2"/>
      <c r="RXO2" s="2"/>
      <c r="RXP2" s="2"/>
      <c r="RXQ2" s="2"/>
      <c r="RXR2" s="2"/>
      <c r="RXS2" s="2"/>
      <c r="RXT2" s="2"/>
      <c r="RXU2" s="2"/>
      <c r="RXV2" s="2"/>
      <c r="RXW2" s="2"/>
      <c r="RXX2" s="2"/>
      <c r="RXY2" s="2" t="s">
        <v>0</v>
      </c>
      <c r="RXZ2" s="2"/>
      <c r="RYA2" s="2"/>
      <c r="RYB2" s="2"/>
      <c r="RYC2" s="2"/>
      <c r="RYD2" s="2"/>
      <c r="RYE2" s="2"/>
      <c r="RYF2" s="2"/>
      <c r="RYG2" s="2"/>
      <c r="RYH2" s="2"/>
      <c r="RYI2" s="2"/>
      <c r="RYJ2" s="2"/>
      <c r="RYK2" s="2"/>
      <c r="RYL2" s="2"/>
      <c r="RYM2" s="2"/>
      <c r="RYN2" s="2"/>
      <c r="RYO2" s="2" t="s">
        <v>0</v>
      </c>
      <c r="RYP2" s="2"/>
      <c r="RYQ2" s="2"/>
      <c r="RYR2" s="2"/>
      <c r="RYS2" s="2"/>
      <c r="RYT2" s="2"/>
      <c r="RYU2" s="2"/>
      <c r="RYV2" s="2"/>
      <c r="RYW2" s="2"/>
      <c r="RYX2" s="2"/>
      <c r="RYY2" s="2"/>
      <c r="RYZ2" s="2"/>
      <c r="RZA2" s="2"/>
      <c r="RZB2" s="2"/>
      <c r="RZC2" s="2"/>
      <c r="RZD2" s="2"/>
      <c r="RZE2" s="2" t="s">
        <v>0</v>
      </c>
      <c r="RZF2" s="2"/>
      <c r="RZG2" s="2"/>
      <c r="RZH2" s="2"/>
      <c r="RZI2" s="2"/>
      <c r="RZJ2" s="2"/>
      <c r="RZK2" s="2"/>
      <c r="RZL2" s="2"/>
      <c r="RZM2" s="2"/>
      <c r="RZN2" s="2"/>
      <c r="RZO2" s="2"/>
      <c r="RZP2" s="2"/>
      <c r="RZQ2" s="2"/>
      <c r="RZR2" s="2"/>
      <c r="RZS2" s="2"/>
      <c r="RZT2" s="2"/>
      <c r="RZU2" s="2" t="s">
        <v>0</v>
      </c>
      <c r="RZV2" s="2"/>
      <c r="RZW2" s="2"/>
      <c r="RZX2" s="2"/>
      <c r="RZY2" s="2"/>
      <c r="RZZ2" s="2"/>
      <c r="SAA2" s="2"/>
      <c r="SAB2" s="2"/>
      <c r="SAC2" s="2"/>
      <c r="SAD2" s="2"/>
      <c r="SAE2" s="2"/>
      <c r="SAF2" s="2"/>
      <c r="SAG2" s="2"/>
      <c r="SAH2" s="2"/>
      <c r="SAI2" s="2"/>
      <c r="SAJ2" s="2"/>
      <c r="SAK2" s="2" t="s">
        <v>0</v>
      </c>
      <c r="SAL2" s="2"/>
      <c r="SAM2" s="2"/>
      <c r="SAN2" s="2"/>
      <c r="SAO2" s="2"/>
      <c r="SAP2" s="2"/>
      <c r="SAQ2" s="2"/>
      <c r="SAR2" s="2"/>
      <c r="SAS2" s="2"/>
      <c r="SAT2" s="2"/>
      <c r="SAU2" s="2"/>
      <c r="SAV2" s="2"/>
      <c r="SAW2" s="2"/>
      <c r="SAX2" s="2"/>
      <c r="SAY2" s="2"/>
      <c r="SAZ2" s="2"/>
      <c r="SBA2" s="2" t="s">
        <v>0</v>
      </c>
      <c r="SBB2" s="2"/>
      <c r="SBC2" s="2"/>
      <c r="SBD2" s="2"/>
      <c r="SBE2" s="2"/>
      <c r="SBF2" s="2"/>
      <c r="SBG2" s="2"/>
      <c r="SBH2" s="2"/>
      <c r="SBI2" s="2"/>
      <c r="SBJ2" s="2"/>
      <c r="SBK2" s="2"/>
      <c r="SBL2" s="2"/>
      <c r="SBM2" s="2"/>
      <c r="SBN2" s="2"/>
      <c r="SBO2" s="2"/>
      <c r="SBP2" s="2"/>
      <c r="SBQ2" s="2" t="s">
        <v>0</v>
      </c>
      <c r="SBR2" s="2"/>
      <c r="SBS2" s="2"/>
      <c r="SBT2" s="2"/>
      <c r="SBU2" s="2"/>
      <c r="SBV2" s="2"/>
      <c r="SBW2" s="2"/>
      <c r="SBX2" s="2"/>
      <c r="SBY2" s="2"/>
      <c r="SBZ2" s="2"/>
      <c r="SCA2" s="2"/>
      <c r="SCB2" s="2"/>
      <c r="SCC2" s="2"/>
      <c r="SCD2" s="2"/>
      <c r="SCE2" s="2"/>
      <c r="SCF2" s="2"/>
      <c r="SCG2" s="2" t="s">
        <v>0</v>
      </c>
      <c r="SCH2" s="2"/>
      <c r="SCI2" s="2"/>
      <c r="SCJ2" s="2"/>
      <c r="SCK2" s="2"/>
      <c r="SCL2" s="2"/>
      <c r="SCM2" s="2"/>
      <c r="SCN2" s="2"/>
      <c r="SCO2" s="2"/>
      <c r="SCP2" s="2"/>
      <c r="SCQ2" s="2"/>
      <c r="SCR2" s="2"/>
      <c r="SCS2" s="2"/>
      <c r="SCT2" s="2"/>
      <c r="SCU2" s="2"/>
      <c r="SCV2" s="2"/>
      <c r="SCW2" s="2" t="s">
        <v>0</v>
      </c>
      <c r="SCX2" s="2"/>
      <c r="SCY2" s="2"/>
      <c r="SCZ2" s="2"/>
      <c r="SDA2" s="2"/>
      <c r="SDB2" s="2"/>
      <c r="SDC2" s="2"/>
      <c r="SDD2" s="2"/>
      <c r="SDE2" s="2"/>
      <c r="SDF2" s="2"/>
      <c r="SDG2" s="2"/>
      <c r="SDH2" s="2"/>
      <c r="SDI2" s="2"/>
      <c r="SDJ2" s="2"/>
      <c r="SDK2" s="2"/>
      <c r="SDL2" s="2"/>
      <c r="SDM2" s="2" t="s">
        <v>0</v>
      </c>
      <c r="SDN2" s="2"/>
      <c r="SDO2" s="2"/>
      <c r="SDP2" s="2"/>
      <c r="SDQ2" s="2"/>
      <c r="SDR2" s="2"/>
      <c r="SDS2" s="2"/>
      <c r="SDT2" s="2"/>
      <c r="SDU2" s="2"/>
      <c r="SDV2" s="2"/>
      <c r="SDW2" s="2"/>
      <c r="SDX2" s="2"/>
      <c r="SDY2" s="2"/>
      <c r="SDZ2" s="2"/>
      <c r="SEA2" s="2"/>
      <c r="SEB2" s="2"/>
      <c r="SEC2" s="2" t="s">
        <v>0</v>
      </c>
      <c r="SED2" s="2"/>
      <c r="SEE2" s="2"/>
      <c r="SEF2" s="2"/>
      <c r="SEG2" s="2"/>
      <c r="SEH2" s="2"/>
      <c r="SEI2" s="2"/>
      <c r="SEJ2" s="2"/>
      <c r="SEK2" s="2"/>
      <c r="SEL2" s="2"/>
      <c r="SEM2" s="2"/>
      <c r="SEN2" s="2"/>
      <c r="SEO2" s="2"/>
      <c r="SEP2" s="2"/>
      <c r="SEQ2" s="2"/>
      <c r="SER2" s="2"/>
      <c r="SES2" s="2" t="s">
        <v>0</v>
      </c>
      <c r="SET2" s="2"/>
      <c r="SEU2" s="2"/>
      <c r="SEV2" s="2"/>
      <c r="SEW2" s="2"/>
      <c r="SEX2" s="2"/>
      <c r="SEY2" s="2"/>
      <c r="SEZ2" s="2"/>
      <c r="SFA2" s="2"/>
      <c r="SFB2" s="2"/>
      <c r="SFC2" s="2"/>
      <c r="SFD2" s="2"/>
      <c r="SFE2" s="2"/>
      <c r="SFF2" s="2"/>
      <c r="SFG2" s="2"/>
      <c r="SFH2" s="2"/>
      <c r="SFI2" s="2" t="s">
        <v>0</v>
      </c>
      <c r="SFJ2" s="2"/>
      <c r="SFK2" s="2"/>
      <c r="SFL2" s="2"/>
      <c r="SFM2" s="2"/>
      <c r="SFN2" s="2"/>
      <c r="SFO2" s="2"/>
      <c r="SFP2" s="2"/>
      <c r="SFQ2" s="2"/>
      <c r="SFR2" s="2"/>
      <c r="SFS2" s="2"/>
      <c r="SFT2" s="2"/>
      <c r="SFU2" s="2"/>
      <c r="SFV2" s="2"/>
      <c r="SFW2" s="2"/>
      <c r="SFX2" s="2"/>
      <c r="SFY2" s="2" t="s">
        <v>0</v>
      </c>
      <c r="SFZ2" s="2"/>
      <c r="SGA2" s="2"/>
      <c r="SGB2" s="2"/>
      <c r="SGC2" s="2"/>
      <c r="SGD2" s="2"/>
      <c r="SGE2" s="2"/>
      <c r="SGF2" s="2"/>
      <c r="SGG2" s="2"/>
      <c r="SGH2" s="2"/>
      <c r="SGI2" s="2"/>
      <c r="SGJ2" s="2"/>
      <c r="SGK2" s="2"/>
      <c r="SGL2" s="2"/>
      <c r="SGM2" s="2"/>
      <c r="SGN2" s="2"/>
      <c r="SGO2" s="2" t="s">
        <v>0</v>
      </c>
      <c r="SGP2" s="2"/>
      <c r="SGQ2" s="2"/>
      <c r="SGR2" s="2"/>
      <c r="SGS2" s="2"/>
      <c r="SGT2" s="2"/>
      <c r="SGU2" s="2"/>
      <c r="SGV2" s="2"/>
      <c r="SGW2" s="2"/>
      <c r="SGX2" s="2"/>
      <c r="SGY2" s="2"/>
      <c r="SGZ2" s="2"/>
      <c r="SHA2" s="2"/>
      <c r="SHB2" s="2"/>
      <c r="SHC2" s="2"/>
      <c r="SHD2" s="2"/>
      <c r="SHE2" s="2" t="s">
        <v>0</v>
      </c>
      <c r="SHF2" s="2"/>
      <c r="SHG2" s="2"/>
      <c r="SHH2" s="2"/>
      <c r="SHI2" s="2"/>
      <c r="SHJ2" s="2"/>
      <c r="SHK2" s="2"/>
      <c r="SHL2" s="2"/>
      <c r="SHM2" s="2"/>
      <c r="SHN2" s="2"/>
      <c r="SHO2" s="2"/>
      <c r="SHP2" s="2"/>
      <c r="SHQ2" s="2"/>
      <c r="SHR2" s="2"/>
      <c r="SHS2" s="2"/>
      <c r="SHT2" s="2"/>
      <c r="SHU2" s="2" t="s">
        <v>0</v>
      </c>
      <c r="SHV2" s="2"/>
      <c r="SHW2" s="2"/>
      <c r="SHX2" s="2"/>
      <c r="SHY2" s="2"/>
      <c r="SHZ2" s="2"/>
      <c r="SIA2" s="2"/>
      <c r="SIB2" s="2"/>
      <c r="SIC2" s="2"/>
      <c r="SID2" s="2"/>
      <c r="SIE2" s="2"/>
      <c r="SIF2" s="2"/>
      <c r="SIG2" s="2"/>
      <c r="SIH2" s="2"/>
      <c r="SII2" s="2"/>
      <c r="SIJ2" s="2"/>
      <c r="SIK2" s="2" t="s">
        <v>0</v>
      </c>
      <c r="SIL2" s="2"/>
      <c r="SIM2" s="2"/>
      <c r="SIN2" s="2"/>
      <c r="SIO2" s="2"/>
      <c r="SIP2" s="2"/>
      <c r="SIQ2" s="2"/>
      <c r="SIR2" s="2"/>
      <c r="SIS2" s="2"/>
      <c r="SIT2" s="2"/>
      <c r="SIU2" s="2"/>
      <c r="SIV2" s="2"/>
      <c r="SIW2" s="2"/>
      <c r="SIX2" s="2"/>
      <c r="SIY2" s="2"/>
      <c r="SIZ2" s="2"/>
      <c r="SJA2" s="2" t="s">
        <v>0</v>
      </c>
      <c r="SJB2" s="2"/>
      <c r="SJC2" s="2"/>
      <c r="SJD2" s="2"/>
      <c r="SJE2" s="2"/>
      <c r="SJF2" s="2"/>
      <c r="SJG2" s="2"/>
      <c r="SJH2" s="2"/>
      <c r="SJI2" s="2"/>
      <c r="SJJ2" s="2"/>
      <c r="SJK2" s="2"/>
      <c r="SJL2" s="2"/>
      <c r="SJM2" s="2"/>
      <c r="SJN2" s="2"/>
      <c r="SJO2" s="2"/>
      <c r="SJP2" s="2"/>
      <c r="SJQ2" s="2" t="s">
        <v>0</v>
      </c>
      <c r="SJR2" s="2"/>
      <c r="SJS2" s="2"/>
      <c r="SJT2" s="2"/>
      <c r="SJU2" s="2"/>
      <c r="SJV2" s="2"/>
      <c r="SJW2" s="2"/>
      <c r="SJX2" s="2"/>
      <c r="SJY2" s="2"/>
      <c r="SJZ2" s="2"/>
      <c r="SKA2" s="2"/>
      <c r="SKB2" s="2"/>
      <c r="SKC2" s="2"/>
      <c r="SKD2" s="2"/>
      <c r="SKE2" s="2"/>
      <c r="SKF2" s="2"/>
      <c r="SKG2" s="2" t="s">
        <v>0</v>
      </c>
      <c r="SKH2" s="2"/>
      <c r="SKI2" s="2"/>
      <c r="SKJ2" s="2"/>
      <c r="SKK2" s="2"/>
      <c r="SKL2" s="2"/>
      <c r="SKM2" s="2"/>
      <c r="SKN2" s="2"/>
      <c r="SKO2" s="2"/>
      <c r="SKP2" s="2"/>
      <c r="SKQ2" s="2"/>
      <c r="SKR2" s="2"/>
      <c r="SKS2" s="2"/>
      <c r="SKT2" s="2"/>
      <c r="SKU2" s="2"/>
      <c r="SKV2" s="2"/>
      <c r="SKW2" s="2" t="s">
        <v>0</v>
      </c>
      <c r="SKX2" s="2"/>
      <c r="SKY2" s="2"/>
      <c r="SKZ2" s="2"/>
      <c r="SLA2" s="2"/>
      <c r="SLB2" s="2"/>
      <c r="SLC2" s="2"/>
      <c r="SLD2" s="2"/>
      <c r="SLE2" s="2"/>
      <c r="SLF2" s="2"/>
      <c r="SLG2" s="2"/>
      <c r="SLH2" s="2"/>
      <c r="SLI2" s="2"/>
      <c r="SLJ2" s="2"/>
      <c r="SLK2" s="2"/>
      <c r="SLL2" s="2"/>
      <c r="SLM2" s="2" t="s">
        <v>0</v>
      </c>
      <c r="SLN2" s="2"/>
      <c r="SLO2" s="2"/>
      <c r="SLP2" s="2"/>
      <c r="SLQ2" s="2"/>
      <c r="SLR2" s="2"/>
      <c r="SLS2" s="2"/>
      <c r="SLT2" s="2"/>
      <c r="SLU2" s="2"/>
      <c r="SLV2" s="2"/>
      <c r="SLW2" s="2"/>
      <c r="SLX2" s="2"/>
      <c r="SLY2" s="2"/>
      <c r="SLZ2" s="2"/>
      <c r="SMA2" s="2"/>
      <c r="SMB2" s="2"/>
      <c r="SMC2" s="2" t="s">
        <v>0</v>
      </c>
      <c r="SMD2" s="2"/>
      <c r="SME2" s="2"/>
      <c r="SMF2" s="2"/>
      <c r="SMG2" s="2"/>
      <c r="SMH2" s="2"/>
      <c r="SMI2" s="2"/>
      <c r="SMJ2" s="2"/>
      <c r="SMK2" s="2"/>
      <c r="SML2" s="2"/>
      <c r="SMM2" s="2"/>
      <c r="SMN2" s="2"/>
      <c r="SMO2" s="2"/>
      <c r="SMP2" s="2"/>
      <c r="SMQ2" s="2"/>
      <c r="SMR2" s="2"/>
      <c r="SMS2" s="2" t="s">
        <v>0</v>
      </c>
      <c r="SMT2" s="2"/>
      <c r="SMU2" s="2"/>
      <c r="SMV2" s="2"/>
      <c r="SMW2" s="2"/>
      <c r="SMX2" s="2"/>
      <c r="SMY2" s="2"/>
      <c r="SMZ2" s="2"/>
      <c r="SNA2" s="2"/>
      <c r="SNB2" s="2"/>
      <c r="SNC2" s="2"/>
      <c r="SND2" s="2"/>
      <c r="SNE2" s="2"/>
      <c r="SNF2" s="2"/>
      <c r="SNG2" s="2"/>
      <c r="SNH2" s="2"/>
      <c r="SNI2" s="2" t="s">
        <v>0</v>
      </c>
      <c r="SNJ2" s="2"/>
      <c r="SNK2" s="2"/>
      <c r="SNL2" s="2"/>
      <c r="SNM2" s="2"/>
      <c r="SNN2" s="2"/>
      <c r="SNO2" s="2"/>
      <c r="SNP2" s="2"/>
      <c r="SNQ2" s="2"/>
      <c r="SNR2" s="2"/>
      <c r="SNS2" s="2"/>
      <c r="SNT2" s="2"/>
      <c r="SNU2" s="2"/>
      <c r="SNV2" s="2"/>
      <c r="SNW2" s="2"/>
      <c r="SNX2" s="2"/>
      <c r="SNY2" s="2" t="s">
        <v>0</v>
      </c>
      <c r="SNZ2" s="2"/>
      <c r="SOA2" s="2"/>
      <c r="SOB2" s="2"/>
      <c r="SOC2" s="2"/>
      <c r="SOD2" s="2"/>
      <c r="SOE2" s="2"/>
      <c r="SOF2" s="2"/>
      <c r="SOG2" s="2"/>
      <c r="SOH2" s="2"/>
      <c r="SOI2" s="2"/>
      <c r="SOJ2" s="2"/>
      <c r="SOK2" s="2"/>
      <c r="SOL2" s="2"/>
      <c r="SOM2" s="2"/>
      <c r="SON2" s="2"/>
      <c r="SOO2" s="2" t="s">
        <v>0</v>
      </c>
      <c r="SOP2" s="2"/>
      <c r="SOQ2" s="2"/>
      <c r="SOR2" s="2"/>
      <c r="SOS2" s="2"/>
      <c r="SOT2" s="2"/>
      <c r="SOU2" s="2"/>
      <c r="SOV2" s="2"/>
      <c r="SOW2" s="2"/>
      <c r="SOX2" s="2"/>
      <c r="SOY2" s="2"/>
      <c r="SOZ2" s="2"/>
      <c r="SPA2" s="2"/>
      <c r="SPB2" s="2"/>
      <c r="SPC2" s="2"/>
      <c r="SPD2" s="2"/>
      <c r="SPE2" s="2" t="s">
        <v>0</v>
      </c>
      <c r="SPF2" s="2"/>
      <c r="SPG2" s="2"/>
      <c r="SPH2" s="2"/>
      <c r="SPI2" s="2"/>
      <c r="SPJ2" s="2"/>
      <c r="SPK2" s="2"/>
      <c r="SPL2" s="2"/>
      <c r="SPM2" s="2"/>
      <c r="SPN2" s="2"/>
      <c r="SPO2" s="2"/>
      <c r="SPP2" s="2"/>
      <c r="SPQ2" s="2"/>
      <c r="SPR2" s="2"/>
      <c r="SPS2" s="2"/>
      <c r="SPT2" s="2"/>
      <c r="SPU2" s="2" t="s">
        <v>0</v>
      </c>
      <c r="SPV2" s="2"/>
      <c r="SPW2" s="2"/>
      <c r="SPX2" s="2"/>
      <c r="SPY2" s="2"/>
      <c r="SPZ2" s="2"/>
      <c r="SQA2" s="2"/>
      <c r="SQB2" s="2"/>
      <c r="SQC2" s="2"/>
      <c r="SQD2" s="2"/>
      <c r="SQE2" s="2"/>
      <c r="SQF2" s="2"/>
      <c r="SQG2" s="2"/>
      <c r="SQH2" s="2"/>
      <c r="SQI2" s="2"/>
      <c r="SQJ2" s="2"/>
      <c r="SQK2" s="2" t="s">
        <v>0</v>
      </c>
      <c r="SQL2" s="2"/>
      <c r="SQM2" s="2"/>
      <c r="SQN2" s="2"/>
      <c r="SQO2" s="2"/>
      <c r="SQP2" s="2"/>
      <c r="SQQ2" s="2"/>
      <c r="SQR2" s="2"/>
      <c r="SQS2" s="2"/>
      <c r="SQT2" s="2"/>
      <c r="SQU2" s="2"/>
      <c r="SQV2" s="2"/>
      <c r="SQW2" s="2"/>
      <c r="SQX2" s="2"/>
      <c r="SQY2" s="2"/>
      <c r="SQZ2" s="2"/>
      <c r="SRA2" s="2" t="s">
        <v>0</v>
      </c>
      <c r="SRB2" s="2"/>
      <c r="SRC2" s="2"/>
      <c r="SRD2" s="2"/>
      <c r="SRE2" s="2"/>
      <c r="SRF2" s="2"/>
      <c r="SRG2" s="2"/>
      <c r="SRH2" s="2"/>
      <c r="SRI2" s="2"/>
      <c r="SRJ2" s="2"/>
      <c r="SRK2" s="2"/>
      <c r="SRL2" s="2"/>
      <c r="SRM2" s="2"/>
      <c r="SRN2" s="2"/>
      <c r="SRO2" s="2"/>
      <c r="SRP2" s="2"/>
      <c r="SRQ2" s="2" t="s">
        <v>0</v>
      </c>
      <c r="SRR2" s="2"/>
      <c r="SRS2" s="2"/>
      <c r="SRT2" s="2"/>
      <c r="SRU2" s="2"/>
      <c r="SRV2" s="2"/>
      <c r="SRW2" s="2"/>
      <c r="SRX2" s="2"/>
      <c r="SRY2" s="2"/>
      <c r="SRZ2" s="2"/>
      <c r="SSA2" s="2"/>
      <c r="SSB2" s="2"/>
      <c r="SSC2" s="2"/>
      <c r="SSD2" s="2"/>
      <c r="SSE2" s="2"/>
      <c r="SSF2" s="2"/>
      <c r="SSG2" s="2" t="s">
        <v>0</v>
      </c>
      <c r="SSH2" s="2"/>
      <c r="SSI2" s="2"/>
      <c r="SSJ2" s="2"/>
      <c r="SSK2" s="2"/>
      <c r="SSL2" s="2"/>
      <c r="SSM2" s="2"/>
      <c r="SSN2" s="2"/>
      <c r="SSO2" s="2"/>
      <c r="SSP2" s="2"/>
      <c r="SSQ2" s="2"/>
      <c r="SSR2" s="2"/>
      <c r="SSS2" s="2"/>
      <c r="SST2" s="2"/>
      <c r="SSU2" s="2"/>
      <c r="SSV2" s="2"/>
      <c r="SSW2" s="2" t="s">
        <v>0</v>
      </c>
      <c r="SSX2" s="2"/>
      <c r="SSY2" s="2"/>
      <c r="SSZ2" s="2"/>
      <c r="STA2" s="2"/>
      <c r="STB2" s="2"/>
      <c r="STC2" s="2"/>
      <c r="STD2" s="2"/>
      <c r="STE2" s="2"/>
      <c r="STF2" s="2"/>
      <c r="STG2" s="2"/>
      <c r="STH2" s="2"/>
      <c r="STI2" s="2"/>
      <c r="STJ2" s="2"/>
      <c r="STK2" s="2"/>
      <c r="STL2" s="2"/>
      <c r="STM2" s="2" t="s">
        <v>0</v>
      </c>
      <c r="STN2" s="2"/>
      <c r="STO2" s="2"/>
      <c r="STP2" s="2"/>
      <c r="STQ2" s="2"/>
      <c r="STR2" s="2"/>
      <c r="STS2" s="2"/>
      <c r="STT2" s="2"/>
      <c r="STU2" s="2"/>
      <c r="STV2" s="2"/>
      <c r="STW2" s="2"/>
      <c r="STX2" s="2"/>
      <c r="STY2" s="2"/>
      <c r="STZ2" s="2"/>
      <c r="SUA2" s="2"/>
      <c r="SUB2" s="2"/>
      <c r="SUC2" s="2" t="s">
        <v>0</v>
      </c>
      <c r="SUD2" s="2"/>
      <c r="SUE2" s="2"/>
      <c r="SUF2" s="2"/>
      <c r="SUG2" s="2"/>
      <c r="SUH2" s="2"/>
      <c r="SUI2" s="2"/>
      <c r="SUJ2" s="2"/>
      <c r="SUK2" s="2"/>
      <c r="SUL2" s="2"/>
      <c r="SUM2" s="2"/>
      <c r="SUN2" s="2"/>
      <c r="SUO2" s="2"/>
      <c r="SUP2" s="2"/>
      <c r="SUQ2" s="2"/>
      <c r="SUR2" s="2"/>
      <c r="SUS2" s="2" t="s">
        <v>0</v>
      </c>
      <c r="SUT2" s="2"/>
      <c r="SUU2" s="2"/>
      <c r="SUV2" s="2"/>
      <c r="SUW2" s="2"/>
      <c r="SUX2" s="2"/>
      <c r="SUY2" s="2"/>
      <c r="SUZ2" s="2"/>
      <c r="SVA2" s="2"/>
      <c r="SVB2" s="2"/>
      <c r="SVC2" s="2"/>
      <c r="SVD2" s="2"/>
      <c r="SVE2" s="2"/>
      <c r="SVF2" s="2"/>
      <c r="SVG2" s="2"/>
      <c r="SVH2" s="2"/>
      <c r="SVI2" s="2" t="s">
        <v>0</v>
      </c>
      <c r="SVJ2" s="2"/>
      <c r="SVK2" s="2"/>
      <c r="SVL2" s="2"/>
      <c r="SVM2" s="2"/>
      <c r="SVN2" s="2"/>
      <c r="SVO2" s="2"/>
      <c r="SVP2" s="2"/>
      <c r="SVQ2" s="2"/>
      <c r="SVR2" s="2"/>
      <c r="SVS2" s="2"/>
      <c r="SVT2" s="2"/>
      <c r="SVU2" s="2"/>
      <c r="SVV2" s="2"/>
      <c r="SVW2" s="2"/>
      <c r="SVX2" s="2"/>
      <c r="SVY2" s="2" t="s">
        <v>0</v>
      </c>
      <c r="SVZ2" s="2"/>
      <c r="SWA2" s="2"/>
      <c r="SWB2" s="2"/>
      <c r="SWC2" s="2"/>
      <c r="SWD2" s="2"/>
      <c r="SWE2" s="2"/>
      <c r="SWF2" s="2"/>
      <c r="SWG2" s="2"/>
      <c r="SWH2" s="2"/>
      <c r="SWI2" s="2"/>
      <c r="SWJ2" s="2"/>
      <c r="SWK2" s="2"/>
      <c r="SWL2" s="2"/>
      <c r="SWM2" s="2"/>
      <c r="SWN2" s="2"/>
      <c r="SWO2" s="2" t="s">
        <v>0</v>
      </c>
      <c r="SWP2" s="2"/>
      <c r="SWQ2" s="2"/>
      <c r="SWR2" s="2"/>
      <c r="SWS2" s="2"/>
      <c r="SWT2" s="2"/>
      <c r="SWU2" s="2"/>
      <c r="SWV2" s="2"/>
      <c r="SWW2" s="2"/>
      <c r="SWX2" s="2"/>
      <c r="SWY2" s="2"/>
      <c r="SWZ2" s="2"/>
      <c r="SXA2" s="2"/>
      <c r="SXB2" s="2"/>
      <c r="SXC2" s="2"/>
      <c r="SXD2" s="2"/>
      <c r="SXE2" s="2" t="s">
        <v>0</v>
      </c>
      <c r="SXF2" s="2"/>
      <c r="SXG2" s="2"/>
      <c r="SXH2" s="2"/>
      <c r="SXI2" s="2"/>
      <c r="SXJ2" s="2"/>
      <c r="SXK2" s="2"/>
      <c r="SXL2" s="2"/>
      <c r="SXM2" s="2"/>
      <c r="SXN2" s="2"/>
      <c r="SXO2" s="2"/>
      <c r="SXP2" s="2"/>
      <c r="SXQ2" s="2"/>
      <c r="SXR2" s="2"/>
      <c r="SXS2" s="2"/>
      <c r="SXT2" s="2"/>
      <c r="SXU2" s="2" t="s">
        <v>0</v>
      </c>
      <c r="SXV2" s="2"/>
      <c r="SXW2" s="2"/>
      <c r="SXX2" s="2"/>
      <c r="SXY2" s="2"/>
      <c r="SXZ2" s="2"/>
      <c r="SYA2" s="2"/>
      <c r="SYB2" s="2"/>
      <c r="SYC2" s="2"/>
      <c r="SYD2" s="2"/>
      <c r="SYE2" s="2"/>
      <c r="SYF2" s="2"/>
      <c r="SYG2" s="2"/>
      <c r="SYH2" s="2"/>
      <c r="SYI2" s="2"/>
      <c r="SYJ2" s="2"/>
      <c r="SYK2" s="2" t="s">
        <v>0</v>
      </c>
      <c r="SYL2" s="2"/>
      <c r="SYM2" s="2"/>
      <c r="SYN2" s="2"/>
      <c r="SYO2" s="2"/>
      <c r="SYP2" s="2"/>
      <c r="SYQ2" s="2"/>
      <c r="SYR2" s="2"/>
      <c r="SYS2" s="2"/>
      <c r="SYT2" s="2"/>
      <c r="SYU2" s="2"/>
      <c r="SYV2" s="2"/>
      <c r="SYW2" s="2"/>
      <c r="SYX2" s="2"/>
      <c r="SYY2" s="2"/>
      <c r="SYZ2" s="2"/>
      <c r="SZA2" s="2" t="s">
        <v>0</v>
      </c>
      <c r="SZB2" s="2"/>
      <c r="SZC2" s="2"/>
      <c r="SZD2" s="2"/>
      <c r="SZE2" s="2"/>
      <c r="SZF2" s="2"/>
      <c r="SZG2" s="2"/>
      <c r="SZH2" s="2"/>
      <c r="SZI2" s="2"/>
      <c r="SZJ2" s="2"/>
      <c r="SZK2" s="2"/>
      <c r="SZL2" s="2"/>
      <c r="SZM2" s="2"/>
      <c r="SZN2" s="2"/>
      <c r="SZO2" s="2"/>
      <c r="SZP2" s="2"/>
      <c r="SZQ2" s="2" t="s">
        <v>0</v>
      </c>
      <c r="SZR2" s="2"/>
      <c r="SZS2" s="2"/>
      <c r="SZT2" s="2"/>
      <c r="SZU2" s="2"/>
      <c r="SZV2" s="2"/>
      <c r="SZW2" s="2"/>
      <c r="SZX2" s="2"/>
      <c r="SZY2" s="2"/>
      <c r="SZZ2" s="2"/>
      <c r="TAA2" s="2"/>
      <c r="TAB2" s="2"/>
      <c r="TAC2" s="2"/>
      <c r="TAD2" s="2"/>
      <c r="TAE2" s="2"/>
      <c r="TAF2" s="2"/>
      <c r="TAG2" s="2" t="s">
        <v>0</v>
      </c>
      <c r="TAH2" s="2"/>
      <c r="TAI2" s="2"/>
      <c r="TAJ2" s="2"/>
      <c r="TAK2" s="2"/>
      <c r="TAL2" s="2"/>
      <c r="TAM2" s="2"/>
      <c r="TAN2" s="2"/>
      <c r="TAO2" s="2"/>
      <c r="TAP2" s="2"/>
      <c r="TAQ2" s="2"/>
      <c r="TAR2" s="2"/>
      <c r="TAS2" s="2"/>
      <c r="TAT2" s="2"/>
      <c r="TAU2" s="2"/>
      <c r="TAV2" s="2"/>
      <c r="TAW2" s="2" t="s">
        <v>0</v>
      </c>
      <c r="TAX2" s="2"/>
      <c r="TAY2" s="2"/>
      <c r="TAZ2" s="2"/>
      <c r="TBA2" s="2"/>
      <c r="TBB2" s="2"/>
      <c r="TBC2" s="2"/>
      <c r="TBD2" s="2"/>
      <c r="TBE2" s="2"/>
      <c r="TBF2" s="2"/>
      <c r="TBG2" s="2"/>
      <c r="TBH2" s="2"/>
      <c r="TBI2" s="2"/>
      <c r="TBJ2" s="2"/>
      <c r="TBK2" s="2"/>
      <c r="TBL2" s="2"/>
      <c r="TBM2" s="2" t="s">
        <v>0</v>
      </c>
      <c r="TBN2" s="2"/>
      <c r="TBO2" s="2"/>
      <c r="TBP2" s="2"/>
      <c r="TBQ2" s="2"/>
      <c r="TBR2" s="2"/>
      <c r="TBS2" s="2"/>
      <c r="TBT2" s="2"/>
      <c r="TBU2" s="2"/>
      <c r="TBV2" s="2"/>
      <c r="TBW2" s="2"/>
      <c r="TBX2" s="2"/>
      <c r="TBY2" s="2"/>
      <c r="TBZ2" s="2"/>
      <c r="TCA2" s="2"/>
      <c r="TCB2" s="2"/>
      <c r="TCC2" s="2" t="s">
        <v>0</v>
      </c>
      <c r="TCD2" s="2"/>
      <c r="TCE2" s="2"/>
      <c r="TCF2" s="2"/>
      <c r="TCG2" s="2"/>
      <c r="TCH2" s="2"/>
      <c r="TCI2" s="2"/>
      <c r="TCJ2" s="2"/>
      <c r="TCK2" s="2"/>
      <c r="TCL2" s="2"/>
      <c r="TCM2" s="2"/>
      <c r="TCN2" s="2"/>
      <c r="TCO2" s="2"/>
      <c r="TCP2" s="2"/>
      <c r="TCQ2" s="2"/>
      <c r="TCR2" s="2"/>
      <c r="TCS2" s="2" t="s">
        <v>0</v>
      </c>
      <c r="TCT2" s="2"/>
      <c r="TCU2" s="2"/>
      <c r="TCV2" s="2"/>
      <c r="TCW2" s="2"/>
      <c r="TCX2" s="2"/>
      <c r="TCY2" s="2"/>
      <c r="TCZ2" s="2"/>
      <c r="TDA2" s="2"/>
      <c r="TDB2" s="2"/>
      <c r="TDC2" s="2"/>
      <c r="TDD2" s="2"/>
      <c r="TDE2" s="2"/>
      <c r="TDF2" s="2"/>
      <c r="TDG2" s="2"/>
      <c r="TDH2" s="2"/>
      <c r="TDI2" s="2" t="s">
        <v>0</v>
      </c>
      <c r="TDJ2" s="2"/>
      <c r="TDK2" s="2"/>
      <c r="TDL2" s="2"/>
      <c r="TDM2" s="2"/>
      <c r="TDN2" s="2"/>
      <c r="TDO2" s="2"/>
      <c r="TDP2" s="2"/>
      <c r="TDQ2" s="2"/>
      <c r="TDR2" s="2"/>
      <c r="TDS2" s="2"/>
      <c r="TDT2" s="2"/>
      <c r="TDU2" s="2"/>
      <c r="TDV2" s="2"/>
      <c r="TDW2" s="2"/>
      <c r="TDX2" s="2"/>
      <c r="TDY2" s="2" t="s">
        <v>0</v>
      </c>
      <c r="TDZ2" s="2"/>
      <c r="TEA2" s="2"/>
      <c r="TEB2" s="2"/>
      <c r="TEC2" s="2"/>
      <c r="TED2" s="2"/>
      <c r="TEE2" s="2"/>
      <c r="TEF2" s="2"/>
      <c r="TEG2" s="2"/>
      <c r="TEH2" s="2"/>
      <c r="TEI2" s="2"/>
      <c r="TEJ2" s="2"/>
      <c r="TEK2" s="2"/>
      <c r="TEL2" s="2"/>
      <c r="TEM2" s="2"/>
      <c r="TEN2" s="2"/>
      <c r="TEO2" s="2" t="s">
        <v>0</v>
      </c>
      <c r="TEP2" s="2"/>
      <c r="TEQ2" s="2"/>
      <c r="TER2" s="2"/>
      <c r="TES2" s="2"/>
      <c r="TET2" s="2"/>
      <c r="TEU2" s="2"/>
      <c r="TEV2" s="2"/>
      <c r="TEW2" s="2"/>
      <c r="TEX2" s="2"/>
      <c r="TEY2" s="2"/>
      <c r="TEZ2" s="2"/>
      <c r="TFA2" s="2"/>
      <c r="TFB2" s="2"/>
      <c r="TFC2" s="2"/>
      <c r="TFD2" s="2"/>
      <c r="TFE2" s="2" t="s">
        <v>0</v>
      </c>
      <c r="TFF2" s="2"/>
      <c r="TFG2" s="2"/>
      <c r="TFH2" s="2"/>
      <c r="TFI2" s="2"/>
      <c r="TFJ2" s="2"/>
      <c r="TFK2" s="2"/>
      <c r="TFL2" s="2"/>
      <c r="TFM2" s="2"/>
      <c r="TFN2" s="2"/>
      <c r="TFO2" s="2"/>
      <c r="TFP2" s="2"/>
      <c r="TFQ2" s="2"/>
      <c r="TFR2" s="2"/>
      <c r="TFS2" s="2"/>
      <c r="TFT2" s="2"/>
      <c r="TFU2" s="2" t="s">
        <v>0</v>
      </c>
      <c r="TFV2" s="2"/>
      <c r="TFW2" s="2"/>
      <c r="TFX2" s="2"/>
      <c r="TFY2" s="2"/>
      <c r="TFZ2" s="2"/>
      <c r="TGA2" s="2"/>
      <c r="TGB2" s="2"/>
      <c r="TGC2" s="2"/>
      <c r="TGD2" s="2"/>
      <c r="TGE2" s="2"/>
      <c r="TGF2" s="2"/>
      <c r="TGG2" s="2"/>
      <c r="TGH2" s="2"/>
      <c r="TGI2" s="2"/>
      <c r="TGJ2" s="2"/>
      <c r="TGK2" s="2" t="s">
        <v>0</v>
      </c>
      <c r="TGL2" s="2"/>
      <c r="TGM2" s="2"/>
      <c r="TGN2" s="2"/>
      <c r="TGO2" s="2"/>
      <c r="TGP2" s="2"/>
      <c r="TGQ2" s="2"/>
      <c r="TGR2" s="2"/>
      <c r="TGS2" s="2"/>
      <c r="TGT2" s="2"/>
      <c r="TGU2" s="2"/>
      <c r="TGV2" s="2"/>
      <c r="TGW2" s="2"/>
      <c r="TGX2" s="2"/>
      <c r="TGY2" s="2"/>
      <c r="TGZ2" s="2"/>
      <c r="THA2" s="2" t="s">
        <v>0</v>
      </c>
      <c r="THB2" s="2"/>
      <c r="THC2" s="2"/>
      <c r="THD2" s="2"/>
      <c r="THE2" s="2"/>
      <c r="THF2" s="2"/>
      <c r="THG2" s="2"/>
      <c r="THH2" s="2"/>
      <c r="THI2" s="2"/>
      <c r="THJ2" s="2"/>
      <c r="THK2" s="2"/>
      <c r="THL2" s="2"/>
      <c r="THM2" s="2"/>
      <c r="THN2" s="2"/>
      <c r="THO2" s="2"/>
      <c r="THP2" s="2"/>
      <c r="THQ2" s="2" t="s">
        <v>0</v>
      </c>
      <c r="THR2" s="2"/>
      <c r="THS2" s="2"/>
      <c r="THT2" s="2"/>
      <c r="THU2" s="2"/>
      <c r="THV2" s="2"/>
      <c r="THW2" s="2"/>
      <c r="THX2" s="2"/>
      <c r="THY2" s="2"/>
      <c r="THZ2" s="2"/>
      <c r="TIA2" s="2"/>
      <c r="TIB2" s="2"/>
      <c r="TIC2" s="2"/>
      <c r="TID2" s="2"/>
      <c r="TIE2" s="2"/>
      <c r="TIF2" s="2"/>
      <c r="TIG2" s="2" t="s">
        <v>0</v>
      </c>
      <c r="TIH2" s="2"/>
      <c r="TII2" s="2"/>
      <c r="TIJ2" s="2"/>
      <c r="TIK2" s="2"/>
      <c r="TIL2" s="2"/>
      <c r="TIM2" s="2"/>
      <c r="TIN2" s="2"/>
      <c r="TIO2" s="2"/>
      <c r="TIP2" s="2"/>
      <c r="TIQ2" s="2"/>
      <c r="TIR2" s="2"/>
      <c r="TIS2" s="2"/>
      <c r="TIT2" s="2"/>
      <c r="TIU2" s="2"/>
      <c r="TIV2" s="2"/>
      <c r="TIW2" s="2" t="s">
        <v>0</v>
      </c>
      <c r="TIX2" s="2"/>
      <c r="TIY2" s="2"/>
      <c r="TIZ2" s="2"/>
      <c r="TJA2" s="2"/>
      <c r="TJB2" s="2"/>
      <c r="TJC2" s="2"/>
      <c r="TJD2" s="2"/>
      <c r="TJE2" s="2"/>
      <c r="TJF2" s="2"/>
      <c r="TJG2" s="2"/>
      <c r="TJH2" s="2"/>
      <c r="TJI2" s="2"/>
      <c r="TJJ2" s="2"/>
      <c r="TJK2" s="2"/>
      <c r="TJL2" s="2"/>
      <c r="TJM2" s="2" t="s">
        <v>0</v>
      </c>
      <c r="TJN2" s="2"/>
      <c r="TJO2" s="2"/>
      <c r="TJP2" s="2"/>
      <c r="TJQ2" s="2"/>
      <c r="TJR2" s="2"/>
      <c r="TJS2" s="2"/>
      <c r="TJT2" s="2"/>
      <c r="TJU2" s="2"/>
      <c r="TJV2" s="2"/>
      <c r="TJW2" s="2"/>
      <c r="TJX2" s="2"/>
      <c r="TJY2" s="2"/>
      <c r="TJZ2" s="2"/>
      <c r="TKA2" s="2"/>
      <c r="TKB2" s="2"/>
      <c r="TKC2" s="2" t="s">
        <v>0</v>
      </c>
      <c r="TKD2" s="2"/>
      <c r="TKE2" s="2"/>
      <c r="TKF2" s="2"/>
      <c r="TKG2" s="2"/>
      <c r="TKH2" s="2"/>
      <c r="TKI2" s="2"/>
      <c r="TKJ2" s="2"/>
      <c r="TKK2" s="2"/>
      <c r="TKL2" s="2"/>
      <c r="TKM2" s="2"/>
      <c r="TKN2" s="2"/>
      <c r="TKO2" s="2"/>
      <c r="TKP2" s="2"/>
      <c r="TKQ2" s="2"/>
      <c r="TKR2" s="2"/>
      <c r="TKS2" s="2" t="s">
        <v>0</v>
      </c>
      <c r="TKT2" s="2"/>
      <c r="TKU2" s="2"/>
      <c r="TKV2" s="2"/>
      <c r="TKW2" s="2"/>
      <c r="TKX2" s="2"/>
      <c r="TKY2" s="2"/>
      <c r="TKZ2" s="2"/>
      <c r="TLA2" s="2"/>
      <c r="TLB2" s="2"/>
      <c r="TLC2" s="2"/>
      <c r="TLD2" s="2"/>
      <c r="TLE2" s="2"/>
      <c r="TLF2" s="2"/>
      <c r="TLG2" s="2"/>
      <c r="TLH2" s="2"/>
      <c r="TLI2" s="2" t="s">
        <v>0</v>
      </c>
      <c r="TLJ2" s="2"/>
      <c r="TLK2" s="2"/>
      <c r="TLL2" s="2"/>
      <c r="TLM2" s="2"/>
      <c r="TLN2" s="2"/>
      <c r="TLO2" s="2"/>
      <c r="TLP2" s="2"/>
      <c r="TLQ2" s="2"/>
      <c r="TLR2" s="2"/>
      <c r="TLS2" s="2"/>
      <c r="TLT2" s="2"/>
      <c r="TLU2" s="2"/>
      <c r="TLV2" s="2"/>
      <c r="TLW2" s="2"/>
      <c r="TLX2" s="2"/>
      <c r="TLY2" s="2" t="s">
        <v>0</v>
      </c>
      <c r="TLZ2" s="2"/>
      <c r="TMA2" s="2"/>
      <c r="TMB2" s="2"/>
      <c r="TMC2" s="2"/>
      <c r="TMD2" s="2"/>
      <c r="TME2" s="2"/>
      <c r="TMF2" s="2"/>
      <c r="TMG2" s="2"/>
      <c r="TMH2" s="2"/>
      <c r="TMI2" s="2"/>
      <c r="TMJ2" s="2"/>
      <c r="TMK2" s="2"/>
      <c r="TML2" s="2"/>
      <c r="TMM2" s="2"/>
      <c r="TMN2" s="2"/>
      <c r="TMO2" s="2" t="s">
        <v>0</v>
      </c>
      <c r="TMP2" s="2"/>
      <c r="TMQ2" s="2"/>
      <c r="TMR2" s="2"/>
      <c r="TMS2" s="2"/>
      <c r="TMT2" s="2"/>
      <c r="TMU2" s="2"/>
      <c r="TMV2" s="2"/>
      <c r="TMW2" s="2"/>
      <c r="TMX2" s="2"/>
      <c r="TMY2" s="2"/>
      <c r="TMZ2" s="2"/>
      <c r="TNA2" s="2"/>
      <c r="TNB2" s="2"/>
      <c r="TNC2" s="2"/>
      <c r="TND2" s="2"/>
      <c r="TNE2" s="2" t="s">
        <v>0</v>
      </c>
      <c r="TNF2" s="2"/>
      <c r="TNG2" s="2"/>
      <c r="TNH2" s="2"/>
      <c r="TNI2" s="2"/>
      <c r="TNJ2" s="2"/>
      <c r="TNK2" s="2"/>
      <c r="TNL2" s="2"/>
      <c r="TNM2" s="2"/>
      <c r="TNN2" s="2"/>
      <c r="TNO2" s="2"/>
      <c r="TNP2" s="2"/>
      <c r="TNQ2" s="2"/>
      <c r="TNR2" s="2"/>
      <c r="TNS2" s="2"/>
      <c r="TNT2" s="2"/>
      <c r="TNU2" s="2" t="s">
        <v>0</v>
      </c>
      <c r="TNV2" s="2"/>
      <c r="TNW2" s="2"/>
      <c r="TNX2" s="2"/>
      <c r="TNY2" s="2"/>
      <c r="TNZ2" s="2"/>
      <c r="TOA2" s="2"/>
      <c r="TOB2" s="2"/>
      <c r="TOC2" s="2"/>
      <c r="TOD2" s="2"/>
      <c r="TOE2" s="2"/>
      <c r="TOF2" s="2"/>
      <c r="TOG2" s="2"/>
      <c r="TOH2" s="2"/>
      <c r="TOI2" s="2"/>
      <c r="TOJ2" s="2"/>
      <c r="TOK2" s="2" t="s">
        <v>0</v>
      </c>
      <c r="TOL2" s="2"/>
      <c r="TOM2" s="2"/>
      <c r="TON2" s="2"/>
      <c r="TOO2" s="2"/>
      <c r="TOP2" s="2"/>
      <c r="TOQ2" s="2"/>
      <c r="TOR2" s="2"/>
      <c r="TOS2" s="2"/>
      <c r="TOT2" s="2"/>
      <c r="TOU2" s="2"/>
      <c r="TOV2" s="2"/>
      <c r="TOW2" s="2"/>
      <c r="TOX2" s="2"/>
      <c r="TOY2" s="2"/>
      <c r="TOZ2" s="2"/>
      <c r="TPA2" s="2" t="s">
        <v>0</v>
      </c>
      <c r="TPB2" s="2"/>
      <c r="TPC2" s="2"/>
      <c r="TPD2" s="2"/>
      <c r="TPE2" s="2"/>
      <c r="TPF2" s="2"/>
      <c r="TPG2" s="2"/>
      <c r="TPH2" s="2"/>
      <c r="TPI2" s="2"/>
      <c r="TPJ2" s="2"/>
      <c r="TPK2" s="2"/>
      <c r="TPL2" s="2"/>
      <c r="TPM2" s="2"/>
      <c r="TPN2" s="2"/>
      <c r="TPO2" s="2"/>
      <c r="TPP2" s="2"/>
      <c r="TPQ2" s="2" t="s">
        <v>0</v>
      </c>
      <c r="TPR2" s="2"/>
      <c r="TPS2" s="2"/>
      <c r="TPT2" s="2"/>
      <c r="TPU2" s="2"/>
      <c r="TPV2" s="2"/>
      <c r="TPW2" s="2"/>
      <c r="TPX2" s="2"/>
      <c r="TPY2" s="2"/>
      <c r="TPZ2" s="2"/>
      <c r="TQA2" s="2"/>
      <c r="TQB2" s="2"/>
      <c r="TQC2" s="2"/>
      <c r="TQD2" s="2"/>
      <c r="TQE2" s="2"/>
      <c r="TQF2" s="2"/>
      <c r="TQG2" s="2" t="s">
        <v>0</v>
      </c>
      <c r="TQH2" s="2"/>
      <c r="TQI2" s="2"/>
      <c r="TQJ2" s="2"/>
      <c r="TQK2" s="2"/>
      <c r="TQL2" s="2"/>
      <c r="TQM2" s="2"/>
      <c r="TQN2" s="2"/>
      <c r="TQO2" s="2"/>
      <c r="TQP2" s="2"/>
      <c r="TQQ2" s="2"/>
      <c r="TQR2" s="2"/>
      <c r="TQS2" s="2"/>
      <c r="TQT2" s="2"/>
      <c r="TQU2" s="2"/>
      <c r="TQV2" s="2"/>
      <c r="TQW2" s="2" t="s">
        <v>0</v>
      </c>
      <c r="TQX2" s="2"/>
      <c r="TQY2" s="2"/>
      <c r="TQZ2" s="2"/>
      <c r="TRA2" s="2"/>
      <c r="TRB2" s="2"/>
      <c r="TRC2" s="2"/>
      <c r="TRD2" s="2"/>
      <c r="TRE2" s="2"/>
      <c r="TRF2" s="2"/>
      <c r="TRG2" s="2"/>
      <c r="TRH2" s="2"/>
      <c r="TRI2" s="2"/>
      <c r="TRJ2" s="2"/>
      <c r="TRK2" s="2"/>
      <c r="TRL2" s="2"/>
      <c r="TRM2" s="2" t="s">
        <v>0</v>
      </c>
      <c r="TRN2" s="2"/>
      <c r="TRO2" s="2"/>
      <c r="TRP2" s="2"/>
      <c r="TRQ2" s="2"/>
      <c r="TRR2" s="2"/>
      <c r="TRS2" s="2"/>
      <c r="TRT2" s="2"/>
      <c r="TRU2" s="2"/>
      <c r="TRV2" s="2"/>
      <c r="TRW2" s="2"/>
      <c r="TRX2" s="2"/>
      <c r="TRY2" s="2"/>
      <c r="TRZ2" s="2"/>
      <c r="TSA2" s="2"/>
      <c r="TSB2" s="2"/>
      <c r="TSC2" s="2" t="s">
        <v>0</v>
      </c>
      <c r="TSD2" s="2"/>
      <c r="TSE2" s="2"/>
      <c r="TSF2" s="2"/>
      <c r="TSG2" s="2"/>
      <c r="TSH2" s="2"/>
      <c r="TSI2" s="2"/>
      <c r="TSJ2" s="2"/>
      <c r="TSK2" s="2"/>
      <c r="TSL2" s="2"/>
      <c r="TSM2" s="2"/>
      <c r="TSN2" s="2"/>
      <c r="TSO2" s="2"/>
      <c r="TSP2" s="2"/>
      <c r="TSQ2" s="2"/>
      <c r="TSR2" s="2"/>
      <c r="TSS2" s="2" t="s">
        <v>0</v>
      </c>
      <c r="TST2" s="2"/>
      <c r="TSU2" s="2"/>
      <c r="TSV2" s="2"/>
      <c r="TSW2" s="2"/>
      <c r="TSX2" s="2"/>
      <c r="TSY2" s="2"/>
      <c r="TSZ2" s="2"/>
      <c r="TTA2" s="2"/>
      <c r="TTB2" s="2"/>
      <c r="TTC2" s="2"/>
      <c r="TTD2" s="2"/>
      <c r="TTE2" s="2"/>
      <c r="TTF2" s="2"/>
      <c r="TTG2" s="2"/>
      <c r="TTH2" s="2"/>
      <c r="TTI2" s="2" t="s">
        <v>0</v>
      </c>
      <c r="TTJ2" s="2"/>
      <c r="TTK2" s="2"/>
      <c r="TTL2" s="2"/>
      <c r="TTM2" s="2"/>
      <c r="TTN2" s="2"/>
      <c r="TTO2" s="2"/>
      <c r="TTP2" s="2"/>
      <c r="TTQ2" s="2"/>
      <c r="TTR2" s="2"/>
      <c r="TTS2" s="2"/>
      <c r="TTT2" s="2"/>
      <c r="TTU2" s="2"/>
      <c r="TTV2" s="2"/>
      <c r="TTW2" s="2"/>
      <c r="TTX2" s="2"/>
      <c r="TTY2" s="2" t="s">
        <v>0</v>
      </c>
      <c r="TTZ2" s="2"/>
      <c r="TUA2" s="2"/>
      <c r="TUB2" s="2"/>
      <c r="TUC2" s="2"/>
      <c r="TUD2" s="2"/>
      <c r="TUE2" s="2"/>
      <c r="TUF2" s="2"/>
      <c r="TUG2" s="2"/>
      <c r="TUH2" s="2"/>
      <c r="TUI2" s="2"/>
      <c r="TUJ2" s="2"/>
      <c r="TUK2" s="2"/>
      <c r="TUL2" s="2"/>
      <c r="TUM2" s="2"/>
      <c r="TUN2" s="2"/>
      <c r="TUO2" s="2" t="s">
        <v>0</v>
      </c>
      <c r="TUP2" s="2"/>
      <c r="TUQ2" s="2"/>
      <c r="TUR2" s="2"/>
      <c r="TUS2" s="2"/>
      <c r="TUT2" s="2"/>
      <c r="TUU2" s="2"/>
      <c r="TUV2" s="2"/>
      <c r="TUW2" s="2"/>
      <c r="TUX2" s="2"/>
      <c r="TUY2" s="2"/>
      <c r="TUZ2" s="2"/>
      <c r="TVA2" s="2"/>
      <c r="TVB2" s="2"/>
      <c r="TVC2" s="2"/>
      <c r="TVD2" s="2"/>
      <c r="TVE2" s="2" t="s">
        <v>0</v>
      </c>
      <c r="TVF2" s="2"/>
      <c r="TVG2" s="2"/>
      <c r="TVH2" s="2"/>
      <c r="TVI2" s="2"/>
      <c r="TVJ2" s="2"/>
      <c r="TVK2" s="2"/>
      <c r="TVL2" s="2"/>
      <c r="TVM2" s="2"/>
      <c r="TVN2" s="2"/>
      <c r="TVO2" s="2"/>
      <c r="TVP2" s="2"/>
      <c r="TVQ2" s="2"/>
      <c r="TVR2" s="2"/>
      <c r="TVS2" s="2"/>
      <c r="TVT2" s="2"/>
      <c r="TVU2" s="2" t="s">
        <v>0</v>
      </c>
      <c r="TVV2" s="2"/>
      <c r="TVW2" s="2"/>
      <c r="TVX2" s="2"/>
      <c r="TVY2" s="2"/>
      <c r="TVZ2" s="2"/>
      <c r="TWA2" s="2"/>
      <c r="TWB2" s="2"/>
      <c r="TWC2" s="2"/>
      <c r="TWD2" s="2"/>
      <c r="TWE2" s="2"/>
      <c r="TWF2" s="2"/>
      <c r="TWG2" s="2"/>
      <c r="TWH2" s="2"/>
      <c r="TWI2" s="2"/>
      <c r="TWJ2" s="2"/>
      <c r="TWK2" s="2" t="s">
        <v>0</v>
      </c>
      <c r="TWL2" s="2"/>
      <c r="TWM2" s="2"/>
      <c r="TWN2" s="2"/>
      <c r="TWO2" s="2"/>
      <c r="TWP2" s="2"/>
      <c r="TWQ2" s="2"/>
      <c r="TWR2" s="2"/>
      <c r="TWS2" s="2"/>
      <c r="TWT2" s="2"/>
      <c r="TWU2" s="2"/>
      <c r="TWV2" s="2"/>
      <c r="TWW2" s="2"/>
      <c r="TWX2" s="2"/>
      <c r="TWY2" s="2"/>
      <c r="TWZ2" s="2"/>
      <c r="TXA2" s="2" t="s">
        <v>0</v>
      </c>
      <c r="TXB2" s="2"/>
      <c r="TXC2" s="2"/>
      <c r="TXD2" s="2"/>
      <c r="TXE2" s="2"/>
      <c r="TXF2" s="2"/>
      <c r="TXG2" s="2"/>
      <c r="TXH2" s="2"/>
      <c r="TXI2" s="2"/>
      <c r="TXJ2" s="2"/>
      <c r="TXK2" s="2"/>
      <c r="TXL2" s="2"/>
      <c r="TXM2" s="2"/>
      <c r="TXN2" s="2"/>
      <c r="TXO2" s="2"/>
      <c r="TXP2" s="2"/>
      <c r="TXQ2" s="2" t="s">
        <v>0</v>
      </c>
      <c r="TXR2" s="2"/>
      <c r="TXS2" s="2"/>
      <c r="TXT2" s="2"/>
      <c r="TXU2" s="2"/>
      <c r="TXV2" s="2"/>
      <c r="TXW2" s="2"/>
      <c r="TXX2" s="2"/>
      <c r="TXY2" s="2"/>
      <c r="TXZ2" s="2"/>
      <c r="TYA2" s="2"/>
      <c r="TYB2" s="2"/>
      <c r="TYC2" s="2"/>
      <c r="TYD2" s="2"/>
      <c r="TYE2" s="2"/>
      <c r="TYF2" s="2"/>
      <c r="TYG2" s="2" t="s">
        <v>0</v>
      </c>
      <c r="TYH2" s="2"/>
      <c r="TYI2" s="2"/>
      <c r="TYJ2" s="2"/>
      <c r="TYK2" s="2"/>
      <c r="TYL2" s="2"/>
      <c r="TYM2" s="2"/>
      <c r="TYN2" s="2"/>
      <c r="TYO2" s="2"/>
      <c r="TYP2" s="2"/>
      <c r="TYQ2" s="2"/>
      <c r="TYR2" s="2"/>
      <c r="TYS2" s="2"/>
      <c r="TYT2" s="2"/>
      <c r="TYU2" s="2"/>
      <c r="TYV2" s="2"/>
      <c r="TYW2" s="2" t="s">
        <v>0</v>
      </c>
      <c r="TYX2" s="2"/>
      <c r="TYY2" s="2"/>
      <c r="TYZ2" s="2"/>
      <c r="TZA2" s="2"/>
      <c r="TZB2" s="2"/>
      <c r="TZC2" s="2"/>
      <c r="TZD2" s="2"/>
      <c r="TZE2" s="2"/>
      <c r="TZF2" s="2"/>
      <c r="TZG2" s="2"/>
      <c r="TZH2" s="2"/>
      <c r="TZI2" s="2"/>
      <c r="TZJ2" s="2"/>
      <c r="TZK2" s="2"/>
      <c r="TZL2" s="2"/>
      <c r="TZM2" s="2" t="s">
        <v>0</v>
      </c>
      <c r="TZN2" s="2"/>
      <c r="TZO2" s="2"/>
      <c r="TZP2" s="2"/>
      <c r="TZQ2" s="2"/>
      <c r="TZR2" s="2"/>
      <c r="TZS2" s="2"/>
      <c r="TZT2" s="2"/>
      <c r="TZU2" s="2"/>
      <c r="TZV2" s="2"/>
      <c r="TZW2" s="2"/>
      <c r="TZX2" s="2"/>
      <c r="TZY2" s="2"/>
      <c r="TZZ2" s="2"/>
      <c r="UAA2" s="2"/>
      <c r="UAB2" s="2"/>
      <c r="UAC2" s="2" t="s">
        <v>0</v>
      </c>
      <c r="UAD2" s="2"/>
      <c r="UAE2" s="2"/>
      <c r="UAF2" s="2"/>
      <c r="UAG2" s="2"/>
      <c r="UAH2" s="2"/>
      <c r="UAI2" s="2"/>
      <c r="UAJ2" s="2"/>
      <c r="UAK2" s="2"/>
      <c r="UAL2" s="2"/>
      <c r="UAM2" s="2"/>
      <c r="UAN2" s="2"/>
      <c r="UAO2" s="2"/>
      <c r="UAP2" s="2"/>
      <c r="UAQ2" s="2"/>
      <c r="UAR2" s="2"/>
      <c r="UAS2" s="2" t="s">
        <v>0</v>
      </c>
      <c r="UAT2" s="2"/>
      <c r="UAU2" s="2"/>
      <c r="UAV2" s="2"/>
      <c r="UAW2" s="2"/>
      <c r="UAX2" s="2"/>
      <c r="UAY2" s="2"/>
      <c r="UAZ2" s="2"/>
      <c r="UBA2" s="2"/>
      <c r="UBB2" s="2"/>
      <c r="UBC2" s="2"/>
      <c r="UBD2" s="2"/>
      <c r="UBE2" s="2"/>
      <c r="UBF2" s="2"/>
      <c r="UBG2" s="2"/>
      <c r="UBH2" s="2"/>
      <c r="UBI2" s="2" t="s">
        <v>0</v>
      </c>
      <c r="UBJ2" s="2"/>
      <c r="UBK2" s="2"/>
      <c r="UBL2" s="2"/>
      <c r="UBM2" s="2"/>
      <c r="UBN2" s="2"/>
      <c r="UBO2" s="2"/>
      <c r="UBP2" s="2"/>
      <c r="UBQ2" s="2"/>
      <c r="UBR2" s="2"/>
      <c r="UBS2" s="2"/>
      <c r="UBT2" s="2"/>
      <c r="UBU2" s="2"/>
      <c r="UBV2" s="2"/>
      <c r="UBW2" s="2"/>
      <c r="UBX2" s="2"/>
      <c r="UBY2" s="2" t="s">
        <v>0</v>
      </c>
      <c r="UBZ2" s="2"/>
      <c r="UCA2" s="2"/>
      <c r="UCB2" s="2"/>
      <c r="UCC2" s="2"/>
      <c r="UCD2" s="2"/>
      <c r="UCE2" s="2"/>
      <c r="UCF2" s="2"/>
      <c r="UCG2" s="2"/>
      <c r="UCH2" s="2"/>
      <c r="UCI2" s="2"/>
      <c r="UCJ2" s="2"/>
      <c r="UCK2" s="2"/>
      <c r="UCL2" s="2"/>
      <c r="UCM2" s="2"/>
      <c r="UCN2" s="2"/>
      <c r="UCO2" s="2" t="s">
        <v>0</v>
      </c>
      <c r="UCP2" s="2"/>
      <c r="UCQ2" s="2"/>
      <c r="UCR2" s="2"/>
      <c r="UCS2" s="2"/>
      <c r="UCT2" s="2"/>
      <c r="UCU2" s="2"/>
      <c r="UCV2" s="2"/>
      <c r="UCW2" s="2"/>
      <c r="UCX2" s="2"/>
      <c r="UCY2" s="2"/>
      <c r="UCZ2" s="2"/>
      <c r="UDA2" s="2"/>
      <c r="UDB2" s="2"/>
      <c r="UDC2" s="2"/>
      <c r="UDD2" s="2"/>
      <c r="UDE2" s="2" t="s">
        <v>0</v>
      </c>
      <c r="UDF2" s="2"/>
      <c r="UDG2" s="2"/>
      <c r="UDH2" s="2"/>
      <c r="UDI2" s="2"/>
      <c r="UDJ2" s="2"/>
      <c r="UDK2" s="2"/>
      <c r="UDL2" s="2"/>
      <c r="UDM2" s="2"/>
      <c r="UDN2" s="2"/>
      <c r="UDO2" s="2"/>
      <c r="UDP2" s="2"/>
      <c r="UDQ2" s="2"/>
      <c r="UDR2" s="2"/>
      <c r="UDS2" s="2"/>
      <c r="UDT2" s="2"/>
      <c r="UDU2" s="2" t="s">
        <v>0</v>
      </c>
      <c r="UDV2" s="2"/>
      <c r="UDW2" s="2"/>
      <c r="UDX2" s="2"/>
      <c r="UDY2" s="2"/>
      <c r="UDZ2" s="2"/>
      <c r="UEA2" s="2"/>
      <c r="UEB2" s="2"/>
      <c r="UEC2" s="2"/>
      <c r="UED2" s="2"/>
      <c r="UEE2" s="2"/>
      <c r="UEF2" s="2"/>
      <c r="UEG2" s="2"/>
      <c r="UEH2" s="2"/>
      <c r="UEI2" s="2"/>
      <c r="UEJ2" s="2"/>
      <c r="UEK2" s="2" t="s">
        <v>0</v>
      </c>
      <c r="UEL2" s="2"/>
      <c r="UEM2" s="2"/>
      <c r="UEN2" s="2"/>
      <c r="UEO2" s="2"/>
      <c r="UEP2" s="2"/>
      <c r="UEQ2" s="2"/>
      <c r="UER2" s="2"/>
      <c r="UES2" s="2"/>
      <c r="UET2" s="2"/>
      <c r="UEU2" s="2"/>
      <c r="UEV2" s="2"/>
      <c r="UEW2" s="2"/>
      <c r="UEX2" s="2"/>
      <c r="UEY2" s="2"/>
      <c r="UEZ2" s="2"/>
      <c r="UFA2" s="2" t="s">
        <v>0</v>
      </c>
      <c r="UFB2" s="2"/>
      <c r="UFC2" s="2"/>
      <c r="UFD2" s="2"/>
      <c r="UFE2" s="2"/>
      <c r="UFF2" s="2"/>
      <c r="UFG2" s="2"/>
      <c r="UFH2" s="2"/>
      <c r="UFI2" s="2"/>
      <c r="UFJ2" s="2"/>
      <c r="UFK2" s="2"/>
      <c r="UFL2" s="2"/>
      <c r="UFM2" s="2"/>
      <c r="UFN2" s="2"/>
      <c r="UFO2" s="2"/>
      <c r="UFP2" s="2"/>
      <c r="UFQ2" s="2" t="s">
        <v>0</v>
      </c>
      <c r="UFR2" s="2"/>
      <c r="UFS2" s="2"/>
      <c r="UFT2" s="2"/>
      <c r="UFU2" s="2"/>
      <c r="UFV2" s="2"/>
      <c r="UFW2" s="2"/>
      <c r="UFX2" s="2"/>
      <c r="UFY2" s="2"/>
      <c r="UFZ2" s="2"/>
      <c r="UGA2" s="2"/>
      <c r="UGB2" s="2"/>
      <c r="UGC2" s="2"/>
      <c r="UGD2" s="2"/>
      <c r="UGE2" s="2"/>
      <c r="UGF2" s="2"/>
      <c r="UGG2" s="2" t="s">
        <v>0</v>
      </c>
      <c r="UGH2" s="2"/>
      <c r="UGI2" s="2"/>
      <c r="UGJ2" s="2"/>
      <c r="UGK2" s="2"/>
      <c r="UGL2" s="2"/>
      <c r="UGM2" s="2"/>
      <c r="UGN2" s="2"/>
      <c r="UGO2" s="2"/>
      <c r="UGP2" s="2"/>
      <c r="UGQ2" s="2"/>
      <c r="UGR2" s="2"/>
      <c r="UGS2" s="2"/>
      <c r="UGT2" s="2"/>
      <c r="UGU2" s="2"/>
      <c r="UGV2" s="2"/>
      <c r="UGW2" s="2" t="s">
        <v>0</v>
      </c>
      <c r="UGX2" s="2"/>
      <c r="UGY2" s="2"/>
      <c r="UGZ2" s="2"/>
      <c r="UHA2" s="2"/>
      <c r="UHB2" s="2"/>
      <c r="UHC2" s="2"/>
      <c r="UHD2" s="2"/>
      <c r="UHE2" s="2"/>
      <c r="UHF2" s="2"/>
      <c r="UHG2" s="2"/>
      <c r="UHH2" s="2"/>
      <c r="UHI2" s="2"/>
      <c r="UHJ2" s="2"/>
      <c r="UHK2" s="2"/>
      <c r="UHL2" s="2"/>
      <c r="UHM2" s="2" t="s">
        <v>0</v>
      </c>
      <c r="UHN2" s="2"/>
      <c r="UHO2" s="2"/>
      <c r="UHP2" s="2"/>
      <c r="UHQ2" s="2"/>
      <c r="UHR2" s="2"/>
      <c r="UHS2" s="2"/>
      <c r="UHT2" s="2"/>
      <c r="UHU2" s="2"/>
      <c r="UHV2" s="2"/>
      <c r="UHW2" s="2"/>
      <c r="UHX2" s="2"/>
      <c r="UHY2" s="2"/>
      <c r="UHZ2" s="2"/>
      <c r="UIA2" s="2"/>
      <c r="UIB2" s="2"/>
      <c r="UIC2" s="2" t="s">
        <v>0</v>
      </c>
      <c r="UID2" s="2"/>
      <c r="UIE2" s="2"/>
      <c r="UIF2" s="2"/>
      <c r="UIG2" s="2"/>
      <c r="UIH2" s="2"/>
      <c r="UII2" s="2"/>
      <c r="UIJ2" s="2"/>
      <c r="UIK2" s="2"/>
      <c r="UIL2" s="2"/>
      <c r="UIM2" s="2"/>
      <c r="UIN2" s="2"/>
      <c r="UIO2" s="2"/>
      <c r="UIP2" s="2"/>
      <c r="UIQ2" s="2"/>
      <c r="UIR2" s="2"/>
      <c r="UIS2" s="2" t="s">
        <v>0</v>
      </c>
      <c r="UIT2" s="2"/>
      <c r="UIU2" s="2"/>
      <c r="UIV2" s="2"/>
      <c r="UIW2" s="2"/>
      <c r="UIX2" s="2"/>
      <c r="UIY2" s="2"/>
      <c r="UIZ2" s="2"/>
      <c r="UJA2" s="2"/>
      <c r="UJB2" s="2"/>
      <c r="UJC2" s="2"/>
      <c r="UJD2" s="2"/>
      <c r="UJE2" s="2"/>
      <c r="UJF2" s="2"/>
      <c r="UJG2" s="2"/>
      <c r="UJH2" s="2"/>
      <c r="UJI2" s="2" t="s">
        <v>0</v>
      </c>
      <c r="UJJ2" s="2"/>
      <c r="UJK2" s="2"/>
      <c r="UJL2" s="2"/>
      <c r="UJM2" s="2"/>
      <c r="UJN2" s="2"/>
      <c r="UJO2" s="2"/>
      <c r="UJP2" s="2"/>
      <c r="UJQ2" s="2"/>
      <c r="UJR2" s="2"/>
      <c r="UJS2" s="2"/>
      <c r="UJT2" s="2"/>
      <c r="UJU2" s="2"/>
      <c r="UJV2" s="2"/>
      <c r="UJW2" s="2"/>
      <c r="UJX2" s="2"/>
      <c r="UJY2" s="2" t="s">
        <v>0</v>
      </c>
      <c r="UJZ2" s="2"/>
      <c r="UKA2" s="2"/>
      <c r="UKB2" s="2"/>
      <c r="UKC2" s="2"/>
      <c r="UKD2" s="2"/>
      <c r="UKE2" s="2"/>
      <c r="UKF2" s="2"/>
      <c r="UKG2" s="2"/>
      <c r="UKH2" s="2"/>
      <c r="UKI2" s="2"/>
      <c r="UKJ2" s="2"/>
      <c r="UKK2" s="2"/>
      <c r="UKL2" s="2"/>
      <c r="UKM2" s="2"/>
      <c r="UKN2" s="2"/>
      <c r="UKO2" s="2" t="s">
        <v>0</v>
      </c>
      <c r="UKP2" s="2"/>
      <c r="UKQ2" s="2"/>
      <c r="UKR2" s="2"/>
      <c r="UKS2" s="2"/>
      <c r="UKT2" s="2"/>
      <c r="UKU2" s="2"/>
      <c r="UKV2" s="2"/>
      <c r="UKW2" s="2"/>
      <c r="UKX2" s="2"/>
      <c r="UKY2" s="2"/>
      <c r="UKZ2" s="2"/>
      <c r="ULA2" s="2"/>
      <c r="ULB2" s="2"/>
      <c r="ULC2" s="2"/>
      <c r="ULD2" s="2"/>
      <c r="ULE2" s="2" t="s">
        <v>0</v>
      </c>
      <c r="ULF2" s="2"/>
      <c r="ULG2" s="2"/>
      <c r="ULH2" s="2"/>
      <c r="ULI2" s="2"/>
      <c r="ULJ2" s="2"/>
      <c r="ULK2" s="2"/>
      <c r="ULL2" s="2"/>
      <c r="ULM2" s="2"/>
      <c r="ULN2" s="2"/>
      <c r="ULO2" s="2"/>
      <c r="ULP2" s="2"/>
      <c r="ULQ2" s="2"/>
      <c r="ULR2" s="2"/>
      <c r="ULS2" s="2"/>
      <c r="ULT2" s="2"/>
      <c r="ULU2" s="2" t="s">
        <v>0</v>
      </c>
      <c r="ULV2" s="2"/>
      <c r="ULW2" s="2"/>
      <c r="ULX2" s="2"/>
      <c r="ULY2" s="2"/>
      <c r="ULZ2" s="2"/>
      <c r="UMA2" s="2"/>
      <c r="UMB2" s="2"/>
      <c r="UMC2" s="2"/>
      <c r="UMD2" s="2"/>
      <c r="UME2" s="2"/>
      <c r="UMF2" s="2"/>
      <c r="UMG2" s="2"/>
      <c r="UMH2" s="2"/>
      <c r="UMI2" s="2"/>
      <c r="UMJ2" s="2"/>
      <c r="UMK2" s="2" t="s">
        <v>0</v>
      </c>
      <c r="UML2" s="2"/>
      <c r="UMM2" s="2"/>
      <c r="UMN2" s="2"/>
      <c r="UMO2" s="2"/>
      <c r="UMP2" s="2"/>
      <c r="UMQ2" s="2"/>
      <c r="UMR2" s="2"/>
      <c r="UMS2" s="2"/>
      <c r="UMT2" s="2"/>
      <c r="UMU2" s="2"/>
      <c r="UMV2" s="2"/>
      <c r="UMW2" s="2"/>
      <c r="UMX2" s="2"/>
      <c r="UMY2" s="2"/>
      <c r="UMZ2" s="2"/>
      <c r="UNA2" s="2" t="s">
        <v>0</v>
      </c>
      <c r="UNB2" s="2"/>
      <c r="UNC2" s="2"/>
      <c r="UND2" s="2"/>
      <c r="UNE2" s="2"/>
      <c r="UNF2" s="2"/>
      <c r="UNG2" s="2"/>
      <c r="UNH2" s="2"/>
      <c r="UNI2" s="2"/>
      <c r="UNJ2" s="2"/>
      <c r="UNK2" s="2"/>
      <c r="UNL2" s="2"/>
      <c r="UNM2" s="2"/>
      <c r="UNN2" s="2"/>
      <c r="UNO2" s="2"/>
      <c r="UNP2" s="2"/>
      <c r="UNQ2" s="2" t="s">
        <v>0</v>
      </c>
      <c r="UNR2" s="2"/>
      <c r="UNS2" s="2"/>
      <c r="UNT2" s="2"/>
      <c r="UNU2" s="2"/>
      <c r="UNV2" s="2"/>
      <c r="UNW2" s="2"/>
      <c r="UNX2" s="2"/>
      <c r="UNY2" s="2"/>
      <c r="UNZ2" s="2"/>
      <c r="UOA2" s="2"/>
      <c r="UOB2" s="2"/>
      <c r="UOC2" s="2"/>
      <c r="UOD2" s="2"/>
      <c r="UOE2" s="2"/>
      <c r="UOF2" s="2"/>
      <c r="UOG2" s="2" t="s">
        <v>0</v>
      </c>
      <c r="UOH2" s="2"/>
      <c r="UOI2" s="2"/>
      <c r="UOJ2" s="2"/>
      <c r="UOK2" s="2"/>
      <c r="UOL2" s="2"/>
      <c r="UOM2" s="2"/>
      <c r="UON2" s="2"/>
      <c r="UOO2" s="2"/>
      <c r="UOP2" s="2"/>
      <c r="UOQ2" s="2"/>
      <c r="UOR2" s="2"/>
      <c r="UOS2" s="2"/>
      <c r="UOT2" s="2"/>
      <c r="UOU2" s="2"/>
      <c r="UOV2" s="2"/>
      <c r="UOW2" s="2" t="s">
        <v>0</v>
      </c>
      <c r="UOX2" s="2"/>
      <c r="UOY2" s="2"/>
      <c r="UOZ2" s="2"/>
      <c r="UPA2" s="2"/>
      <c r="UPB2" s="2"/>
      <c r="UPC2" s="2"/>
      <c r="UPD2" s="2"/>
      <c r="UPE2" s="2"/>
      <c r="UPF2" s="2"/>
      <c r="UPG2" s="2"/>
      <c r="UPH2" s="2"/>
      <c r="UPI2" s="2"/>
      <c r="UPJ2" s="2"/>
      <c r="UPK2" s="2"/>
      <c r="UPL2" s="2"/>
      <c r="UPM2" s="2" t="s">
        <v>0</v>
      </c>
      <c r="UPN2" s="2"/>
      <c r="UPO2" s="2"/>
      <c r="UPP2" s="2"/>
      <c r="UPQ2" s="2"/>
      <c r="UPR2" s="2"/>
      <c r="UPS2" s="2"/>
      <c r="UPT2" s="2"/>
      <c r="UPU2" s="2"/>
      <c r="UPV2" s="2"/>
      <c r="UPW2" s="2"/>
      <c r="UPX2" s="2"/>
      <c r="UPY2" s="2"/>
      <c r="UPZ2" s="2"/>
      <c r="UQA2" s="2"/>
      <c r="UQB2" s="2"/>
      <c r="UQC2" s="2" t="s">
        <v>0</v>
      </c>
      <c r="UQD2" s="2"/>
      <c r="UQE2" s="2"/>
      <c r="UQF2" s="2"/>
      <c r="UQG2" s="2"/>
      <c r="UQH2" s="2"/>
      <c r="UQI2" s="2"/>
      <c r="UQJ2" s="2"/>
      <c r="UQK2" s="2"/>
      <c r="UQL2" s="2"/>
      <c r="UQM2" s="2"/>
      <c r="UQN2" s="2"/>
      <c r="UQO2" s="2"/>
      <c r="UQP2" s="2"/>
      <c r="UQQ2" s="2"/>
      <c r="UQR2" s="2"/>
      <c r="UQS2" s="2" t="s">
        <v>0</v>
      </c>
      <c r="UQT2" s="2"/>
      <c r="UQU2" s="2"/>
      <c r="UQV2" s="2"/>
      <c r="UQW2" s="2"/>
      <c r="UQX2" s="2"/>
      <c r="UQY2" s="2"/>
      <c r="UQZ2" s="2"/>
      <c r="URA2" s="2"/>
      <c r="URB2" s="2"/>
      <c r="URC2" s="2"/>
      <c r="URD2" s="2"/>
      <c r="URE2" s="2"/>
      <c r="URF2" s="2"/>
      <c r="URG2" s="2"/>
      <c r="URH2" s="2"/>
      <c r="URI2" s="2" t="s">
        <v>0</v>
      </c>
      <c r="URJ2" s="2"/>
      <c r="URK2" s="2"/>
      <c r="URL2" s="2"/>
      <c r="URM2" s="2"/>
      <c r="URN2" s="2"/>
      <c r="URO2" s="2"/>
      <c r="URP2" s="2"/>
      <c r="URQ2" s="2"/>
      <c r="URR2" s="2"/>
      <c r="URS2" s="2"/>
      <c r="URT2" s="2"/>
      <c r="URU2" s="2"/>
      <c r="URV2" s="2"/>
      <c r="URW2" s="2"/>
      <c r="URX2" s="2"/>
      <c r="URY2" s="2" t="s">
        <v>0</v>
      </c>
      <c r="URZ2" s="2"/>
      <c r="USA2" s="2"/>
      <c r="USB2" s="2"/>
      <c r="USC2" s="2"/>
      <c r="USD2" s="2"/>
      <c r="USE2" s="2"/>
      <c r="USF2" s="2"/>
      <c r="USG2" s="2"/>
      <c r="USH2" s="2"/>
      <c r="USI2" s="2"/>
      <c r="USJ2" s="2"/>
      <c r="USK2" s="2"/>
      <c r="USL2" s="2"/>
      <c r="USM2" s="2"/>
      <c r="USN2" s="2"/>
      <c r="USO2" s="2" t="s">
        <v>0</v>
      </c>
      <c r="USP2" s="2"/>
      <c r="USQ2" s="2"/>
      <c r="USR2" s="2"/>
      <c r="USS2" s="2"/>
      <c r="UST2" s="2"/>
      <c r="USU2" s="2"/>
      <c r="USV2" s="2"/>
      <c r="USW2" s="2"/>
      <c r="USX2" s="2"/>
      <c r="USY2" s="2"/>
      <c r="USZ2" s="2"/>
      <c r="UTA2" s="2"/>
      <c r="UTB2" s="2"/>
      <c r="UTC2" s="2"/>
      <c r="UTD2" s="2"/>
      <c r="UTE2" s="2" t="s">
        <v>0</v>
      </c>
      <c r="UTF2" s="2"/>
      <c r="UTG2" s="2"/>
      <c r="UTH2" s="2"/>
      <c r="UTI2" s="2"/>
      <c r="UTJ2" s="2"/>
      <c r="UTK2" s="2"/>
      <c r="UTL2" s="2"/>
      <c r="UTM2" s="2"/>
      <c r="UTN2" s="2"/>
      <c r="UTO2" s="2"/>
      <c r="UTP2" s="2"/>
      <c r="UTQ2" s="2"/>
      <c r="UTR2" s="2"/>
      <c r="UTS2" s="2"/>
      <c r="UTT2" s="2"/>
      <c r="UTU2" s="2" t="s">
        <v>0</v>
      </c>
      <c r="UTV2" s="2"/>
      <c r="UTW2" s="2"/>
      <c r="UTX2" s="2"/>
      <c r="UTY2" s="2"/>
      <c r="UTZ2" s="2"/>
      <c r="UUA2" s="2"/>
      <c r="UUB2" s="2"/>
      <c r="UUC2" s="2"/>
      <c r="UUD2" s="2"/>
      <c r="UUE2" s="2"/>
      <c r="UUF2" s="2"/>
      <c r="UUG2" s="2"/>
      <c r="UUH2" s="2"/>
      <c r="UUI2" s="2"/>
      <c r="UUJ2" s="2"/>
      <c r="UUK2" s="2" t="s">
        <v>0</v>
      </c>
      <c r="UUL2" s="2"/>
      <c r="UUM2" s="2"/>
      <c r="UUN2" s="2"/>
      <c r="UUO2" s="2"/>
      <c r="UUP2" s="2"/>
      <c r="UUQ2" s="2"/>
      <c r="UUR2" s="2"/>
      <c r="UUS2" s="2"/>
      <c r="UUT2" s="2"/>
      <c r="UUU2" s="2"/>
      <c r="UUV2" s="2"/>
      <c r="UUW2" s="2"/>
      <c r="UUX2" s="2"/>
      <c r="UUY2" s="2"/>
      <c r="UUZ2" s="2"/>
      <c r="UVA2" s="2" t="s">
        <v>0</v>
      </c>
      <c r="UVB2" s="2"/>
      <c r="UVC2" s="2"/>
      <c r="UVD2" s="2"/>
      <c r="UVE2" s="2"/>
      <c r="UVF2" s="2"/>
      <c r="UVG2" s="2"/>
      <c r="UVH2" s="2"/>
      <c r="UVI2" s="2"/>
      <c r="UVJ2" s="2"/>
      <c r="UVK2" s="2"/>
      <c r="UVL2" s="2"/>
      <c r="UVM2" s="2"/>
      <c r="UVN2" s="2"/>
      <c r="UVO2" s="2"/>
      <c r="UVP2" s="2"/>
      <c r="UVQ2" s="2" t="s">
        <v>0</v>
      </c>
      <c r="UVR2" s="2"/>
      <c r="UVS2" s="2"/>
      <c r="UVT2" s="2"/>
      <c r="UVU2" s="2"/>
      <c r="UVV2" s="2"/>
      <c r="UVW2" s="2"/>
      <c r="UVX2" s="2"/>
      <c r="UVY2" s="2"/>
      <c r="UVZ2" s="2"/>
      <c r="UWA2" s="2"/>
      <c r="UWB2" s="2"/>
      <c r="UWC2" s="2"/>
      <c r="UWD2" s="2"/>
      <c r="UWE2" s="2"/>
      <c r="UWF2" s="2"/>
      <c r="UWG2" s="2" t="s">
        <v>0</v>
      </c>
      <c r="UWH2" s="2"/>
      <c r="UWI2" s="2"/>
      <c r="UWJ2" s="2"/>
      <c r="UWK2" s="2"/>
      <c r="UWL2" s="2"/>
      <c r="UWM2" s="2"/>
      <c r="UWN2" s="2"/>
      <c r="UWO2" s="2"/>
      <c r="UWP2" s="2"/>
      <c r="UWQ2" s="2"/>
      <c r="UWR2" s="2"/>
      <c r="UWS2" s="2"/>
      <c r="UWT2" s="2"/>
      <c r="UWU2" s="2"/>
      <c r="UWV2" s="2"/>
      <c r="UWW2" s="2" t="s">
        <v>0</v>
      </c>
      <c r="UWX2" s="2"/>
      <c r="UWY2" s="2"/>
      <c r="UWZ2" s="2"/>
      <c r="UXA2" s="2"/>
      <c r="UXB2" s="2"/>
      <c r="UXC2" s="2"/>
      <c r="UXD2" s="2"/>
      <c r="UXE2" s="2"/>
      <c r="UXF2" s="2"/>
      <c r="UXG2" s="2"/>
      <c r="UXH2" s="2"/>
      <c r="UXI2" s="2"/>
      <c r="UXJ2" s="2"/>
      <c r="UXK2" s="2"/>
      <c r="UXL2" s="2"/>
      <c r="UXM2" s="2" t="s">
        <v>0</v>
      </c>
      <c r="UXN2" s="2"/>
      <c r="UXO2" s="2"/>
      <c r="UXP2" s="2"/>
      <c r="UXQ2" s="2"/>
      <c r="UXR2" s="2"/>
      <c r="UXS2" s="2"/>
      <c r="UXT2" s="2"/>
      <c r="UXU2" s="2"/>
      <c r="UXV2" s="2"/>
      <c r="UXW2" s="2"/>
      <c r="UXX2" s="2"/>
      <c r="UXY2" s="2"/>
      <c r="UXZ2" s="2"/>
      <c r="UYA2" s="2"/>
      <c r="UYB2" s="2"/>
      <c r="UYC2" s="2" t="s">
        <v>0</v>
      </c>
      <c r="UYD2" s="2"/>
      <c r="UYE2" s="2"/>
      <c r="UYF2" s="2"/>
      <c r="UYG2" s="2"/>
      <c r="UYH2" s="2"/>
      <c r="UYI2" s="2"/>
      <c r="UYJ2" s="2"/>
      <c r="UYK2" s="2"/>
      <c r="UYL2" s="2"/>
      <c r="UYM2" s="2"/>
      <c r="UYN2" s="2"/>
      <c r="UYO2" s="2"/>
      <c r="UYP2" s="2"/>
      <c r="UYQ2" s="2"/>
      <c r="UYR2" s="2"/>
      <c r="UYS2" s="2" t="s">
        <v>0</v>
      </c>
      <c r="UYT2" s="2"/>
      <c r="UYU2" s="2"/>
      <c r="UYV2" s="2"/>
      <c r="UYW2" s="2"/>
      <c r="UYX2" s="2"/>
      <c r="UYY2" s="2"/>
      <c r="UYZ2" s="2"/>
      <c r="UZA2" s="2"/>
      <c r="UZB2" s="2"/>
      <c r="UZC2" s="2"/>
      <c r="UZD2" s="2"/>
      <c r="UZE2" s="2"/>
      <c r="UZF2" s="2"/>
      <c r="UZG2" s="2"/>
      <c r="UZH2" s="2"/>
      <c r="UZI2" s="2" t="s">
        <v>0</v>
      </c>
      <c r="UZJ2" s="2"/>
      <c r="UZK2" s="2"/>
      <c r="UZL2" s="2"/>
      <c r="UZM2" s="2"/>
      <c r="UZN2" s="2"/>
      <c r="UZO2" s="2"/>
      <c r="UZP2" s="2"/>
      <c r="UZQ2" s="2"/>
      <c r="UZR2" s="2"/>
      <c r="UZS2" s="2"/>
      <c r="UZT2" s="2"/>
      <c r="UZU2" s="2"/>
      <c r="UZV2" s="2"/>
      <c r="UZW2" s="2"/>
      <c r="UZX2" s="2"/>
      <c r="UZY2" s="2" t="s">
        <v>0</v>
      </c>
      <c r="UZZ2" s="2"/>
      <c r="VAA2" s="2"/>
      <c r="VAB2" s="2"/>
      <c r="VAC2" s="2"/>
      <c r="VAD2" s="2"/>
      <c r="VAE2" s="2"/>
      <c r="VAF2" s="2"/>
      <c r="VAG2" s="2"/>
      <c r="VAH2" s="2"/>
      <c r="VAI2" s="2"/>
      <c r="VAJ2" s="2"/>
      <c r="VAK2" s="2"/>
      <c r="VAL2" s="2"/>
      <c r="VAM2" s="2"/>
      <c r="VAN2" s="2"/>
      <c r="VAO2" s="2" t="s">
        <v>0</v>
      </c>
      <c r="VAP2" s="2"/>
      <c r="VAQ2" s="2"/>
      <c r="VAR2" s="2"/>
      <c r="VAS2" s="2"/>
      <c r="VAT2" s="2"/>
      <c r="VAU2" s="2"/>
      <c r="VAV2" s="2"/>
      <c r="VAW2" s="2"/>
      <c r="VAX2" s="2"/>
      <c r="VAY2" s="2"/>
      <c r="VAZ2" s="2"/>
      <c r="VBA2" s="2"/>
      <c r="VBB2" s="2"/>
      <c r="VBC2" s="2"/>
      <c r="VBD2" s="2"/>
      <c r="VBE2" s="2" t="s">
        <v>0</v>
      </c>
      <c r="VBF2" s="2"/>
      <c r="VBG2" s="2"/>
      <c r="VBH2" s="2"/>
      <c r="VBI2" s="2"/>
      <c r="VBJ2" s="2"/>
      <c r="VBK2" s="2"/>
      <c r="VBL2" s="2"/>
      <c r="VBM2" s="2"/>
      <c r="VBN2" s="2"/>
      <c r="VBO2" s="2"/>
      <c r="VBP2" s="2"/>
      <c r="VBQ2" s="2"/>
      <c r="VBR2" s="2"/>
      <c r="VBS2" s="2"/>
      <c r="VBT2" s="2"/>
      <c r="VBU2" s="2" t="s">
        <v>0</v>
      </c>
      <c r="VBV2" s="2"/>
      <c r="VBW2" s="2"/>
      <c r="VBX2" s="2"/>
      <c r="VBY2" s="2"/>
      <c r="VBZ2" s="2"/>
      <c r="VCA2" s="2"/>
      <c r="VCB2" s="2"/>
      <c r="VCC2" s="2"/>
      <c r="VCD2" s="2"/>
      <c r="VCE2" s="2"/>
      <c r="VCF2" s="2"/>
      <c r="VCG2" s="2"/>
      <c r="VCH2" s="2"/>
      <c r="VCI2" s="2"/>
      <c r="VCJ2" s="2"/>
      <c r="VCK2" s="2" t="s">
        <v>0</v>
      </c>
      <c r="VCL2" s="2"/>
      <c r="VCM2" s="2"/>
      <c r="VCN2" s="2"/>
      <c r="VCO2" s="2"/>
      <c r="VCP2" s="2"/>
      <c r="VCQ2" s="2"/>
      <c r="VCR2" s="2"/>
      <c r="VCS2" s="2"/>
      <c r="VCT2" s="2"/>
      <c r="VCU2" s="2"/>
      <c r="VCV2" s="2"/>
      <c r="VCW2" s="2"/>
      <c r="VCX2" s="2"/>
      <c r="VCY2" s="2"/>
      <c r="VCZ2" s="2"/>
      <c r="VDA2" s="2" t="s">
        <v>0</v>
      </c>
      <c r="VDB2" s="2"/>
      <c r="VDC2" s="2"/>
      <c r="VDD2" s="2"/>
      <c r="VDE2" s="2"/>
      <c r="VDF2" s="2"/>
      <c r="VDG2" s="2"/>
      <c r="VDH2" s="2"/>
      <c r="VDI2" s="2"/>
      <c r="VDJ2" s="2"/>
      <c r="VDK2" s="2"/>
      <c r="VDL2" s="2"/>
      <c r="VDM2" s="2"/>
      <c r="VDN2" s="2"/>
      <c r="VDO2" s="2"/>
      <c r="VDP2" s="2"/>
      <c r="VDQ2" s="2" t="s">
        <v>0</v>
      </c>
      <c r="VDR2" s="2"/>
      <c r="VDS2" s="2"/>
      <c r="VDT2" s="2"/>
      <c r="VDU2" s="2"/>
      <c r="VDV2" s="2"/>
      <c r="VDW2" s="2"/>
      <c r="VDX2" s="2"/>
      <c r="VDY2" s="2"/>
      <c r="VDZ2" s="2"/>
      <c r="VEA2" s="2"/>
      <c r="VEB2" s="2"/>
      <c r="VEC2" s="2"/>
      <c r="VED2" s="2"/>
      <c r="VEE2" s="2"/>
      <c r="VEF2" s="2"/>
      <c r="VEG2" s="2" t="s">
        <v>0</v>
      </c>
      <c r="VEH2" s="2"/>
      <c r="VEI2" s="2"/>
      <c r="VEJ2" s="2"/>
      <c r="VEK2" s="2"/>
      <c r="VEL2" s="2"/>
      <c r="VEM2" s="2"/>
      <c r="VEN2" s="2"/>
      <c r="VEO2" s="2"/>
      <c r="VEP2" s="2"/>
      <c r="VEQ2" s="2"/>
      <c r="VER2" s="2"/>
      <c r="VES2" s="2"/>
      <c r="VET2" s="2"/>
      <c r="VEU2" s="2"/>
      <c r="VEV2" s="2"/>
      <c r="VEW2" s="2" t="s">
        <v>0</v>
      </c>
      <c r="VEX2" s="2"/>
      <c r="VEY2" s="2"/>
      <c r="VEZ2" s="2"/>
      <c r="VFA2" s="2"/>
      <c r="VFB2" s="2"/>
      <c r="VFC2" s="2"/>
      <c r="VFD2" s="2"/>
      <c r="VFE2" s="2"/>
      <c r="VFF2" s="2"/>
      <c r="VFG2" s="2"/>
      <c r="VFH2" s="2"/>
      <c r="VFI2" s="2"/>
      <c r="VFJ2" s="2"/>
      <c r="VFK2" s="2"/>
      <c r="VFL2" s="2"/>
      <c r="VFM2" s="2" t="s">
        <v>0</v>
      </c>
      <c r="VFN2" s="2"/>
      <c r="VFO2" s="2"/>
      <c r="VFP2" s="2"/>
      <c r="VFQ2" s="2"/>
      <c r="VFR2" s="2"/>
      <c r="VFS2" s="2"/>
      <c r="VFT2" s="2"/>
      <c r="VFU2" s="2"/>
      <c r="VFV2" s="2"/>
      <c r="VFW2" s="2"/>
      <c r="VFX2" s="2"/>
      <c r="VFY2" s="2"/>
      <c r="VFZ2" s="2"/>
      <c r="VGA2" s="2"/>
      <c r="VGB2" s="2"/>
      <c r="VGC2" s="2" t="s">
        <v>0</v>
      </c>
      <c r="VGD2" s="2"/>
      <c r="VGE2" s="2"/>
      <c r="VGF2" s="2"/>
      <c r="VGG2" s="2"/>
      <c r="VGH2" s="2"/>
      <c r="VGI2" s="2"/>
      <c r="VGJ2" s="2"/>
      <c r="VGK2" s="2"/>
      <c r="VGL2" s="2"/>
      <c r="VGM2" s="2"/>
      <c r="VGN2" s="2"/>
      <c r="VGO2" s="2"/>
      <c r="VGP2" s="2"/>
      <c r="VGQ2" s="2"/>
      <c r="VGR2" s="2"/>
      <c r="VGS2" s="2" t="s">
        <v>0</v>
      </c>
      <c r="VGT2" s="2"/>
      <c r="VGU2" s="2"/>
      <c r="VGV2" s="2"/>
      <c r="VGW2" s="2"/>
      <c r="VGX2" s="2"/>
      <c r="VGY2" s="2"/>
      <c r="VGZ2" s="2"/>
      <c r="VHA2" s="2"/>
      <c r="VHB2" s="2"/>
      <c r="VHC2" s="2"/>
      <c r="VHD2" s="2"/>
      <c r="VHE2" s="2"/>
      <c r="VHF2" s="2"/>
      <c r="VHG2" s="2"/>
      <c r="VHH2" s="2"/>
      <c r="VHI2" s="2" t="s">
        <v>0</v>
      </c>
      <c r="VHJ2" s="2"/>
      <c r="VHK2" s="2"/>
      <c r="VHL2" s="2"/>
      <c r="VHM2" s="2"/>
      <c r="VHN2" s="2"/>
      <c r="VHO2" s="2"/>
      <c r="VHP2" s="2"/>
      <c r="VHQ2" s="2"/>
      <c r="VHR2" s="2"/>
      <c r="VHS2" s="2"/>
      <c r="VHT2" s="2"/>
      <c r="VHU2" s="2"/>
      <c r="VHV2" s="2"/>
      <c r="VHW2" s="2"/>
      <c r="VHX2" s="2"/>
      <c r="VHY2" s="2" t="s">
        <v>0</v>
      </c>
      <c r="VHZ2" s="2"/>
      <c r="VIA2" s="2"/>
      <c r="VIB2" s="2"/>
      <c r="VIC2" s="2"/>
      <c r="VID2" s="2"/>
      <c r="VIE2" s="2"/>
      <c r="VIF2" s="2"/>
      <c r="VIG2" s="2"/>
      <c r="VIH2" s="2"/>
      <c r="VII2" s="2"/>
      <c r="VIJ2" s="2"/>
      <c r="VIK2" s="2"/>
      <c r="VIL2" s="2"/>
      <c r="VIM2" s="2"/>
      <c r="VIN2" s="2"/>
      <c r="VIO2" s="2" t="s">
        <v>0</v>
      </c>
      <c r="VIP2" s="2"/>
      <c r="VIQ2" s="2"/>
      <c r="VIR2" s="2"/>
      <c r="VIS2" s="2"/>
      <c r="VIT2" s="2"/>
      <c r="VIU2" s="2"/>
      <c r="VIV2" s="2"/>
      <c r="VIW2" s="2"/>
      <c r="VIX2" s="2"/>
      <c r="VIY2" s="2"/>
      <c r="VIZ2" s="2"/>
      <c r="VJA2" s="2"/>
      <c r="VJB2" s="2"/>
      <c r="VJC2" s="2"/>
      <c r="VJD2" s="2"/>
      <c r="VJE2" s="2" t="s">
        <v>0</v>
      </c>
      <c r="VJF2" s="2"/>
      <c r="VJG2" s="2"/>
      <c r="VJH2" s="2"/>
      <c r="VJI2" s="2"/>
      <c r="VJJ2" s="2"/>
      <c r="VJK2" s="2"/>
      <c r="VJL2" s="2"/>
      <c r="VJM2" s="2"/>
      <c r="VJN2" s="2"/>
      <c r="VJO2" s="2"/>
      <c r="VJP2" s="2"/>
      <c r="VJQ2" s="2"/>
      <c r="VJR2" s="2"/>
      <c r="VJS2" s="2"/>
      <c r="VJT2" s="2"/>
      <c r="VJU2" s="2" t="s">
        <v>0</v>
      </c>
      <c r="VJV2" s="2"/>
      <c r="VJW2" s="2"/>
      <c r="VJX2" s="2"/>
      <c r="VJY2" s="2"/>
      <c r="VJZ2" s="2"/>
      <c r="VKA2" s="2"/>
      <c r="VKB2" s="2"/>
      <c r="VKC2" s="2"/>
      <c r="VKD2" s="2"/>
      <c r="VKE2" s="2"/>
      <c r="VKF2" s="2"/>
      <c r="VKG2" s="2"/>
      <c r="VKH2" s="2"/>
      <c r="VKI2" s="2"/>
      <c r="VKJ2" s="2"/>
      <c r="VKK2" s="2" t="s">
        <v>0</v>
      </c>
      <c r="VKL2" s="2"/>
      <c r="VKM2" s="2"/>
      <c r="VKN2" s="2"/>
      <c r="VKO2" s="2"/>
      <c r="VKP2" s="2"/>
      <c r="VKQ2" s="2"/>
      <c r="VKR2" s="2"/>
      <c r="VKS2" s="2"/>
      <c r="VKT2" s="2"/>
      <c r="VKU2" s="2"/>
      <c r="VKV2" s="2"/>
      <c r="VKW2" s="2"/>
      <c r="VKX2" s="2"/>
      <c r="VKY2" s="2"/>
      <c r="VKZ2" s="2"/>
      <c r="VLA2" s="2" t="s">
        <v>0</v>
      </c>
      <c r="VLB2" s="2"/>
      <c r="VLC2" s="2"/>
      <c r="VLD2" s="2"/>
      <c r="VLE2" s="2"/>
      <c r="VLF2" s="2"/>
      <c r="VLG2" s="2"/>
      <c r="VLH2" s="2"/>
      <c r="VLI2" s="2"/>
      <c r="VLJ2" s="2"/>
      <c r="VLK2" s="2"/>
      <c r="VLL2" s="2"/>
      <c r="VLM2" s="2"/>
      <c r="VLN2" s="2"/>
      <c r="VLO2" s="2"/>
      <c r="VLP2" s="2"/>
      <c r="VLQ2" s="2" t="s">
        <v>0</v>
      </c>
      <c r="VLR2" s="2"/>
      <c r="VLS2" s="2"/>
      <c r="VLT2" s="2"/>
      <c r="VLU2" s="2"/>
      <c r="VLV2" s="2"/>
      <c r="VLW2" s="2"/>
      <c r="VLX2" s="2"/>
      <c r="VLY2" s="2"/>
      <c r="VLZ2" s="2"/>
      <c r="VMA2" s="2"/>
      <c r="VMB2" s="2"/>
      <c r="VMC2" s="2"/>
      <c r="VMD2" s="2"/>
      <c r="VME2" s="2"/>
      <c r="VMF2" s="2"/>
      <c r="VMG2" s="2" t="s">
        <v>0</v>
      </c>
      <c r="VMH2" s="2"/>
      <c r="VMI2" s="2"/>
      <c r="VMJ2" s="2"/>
      <c r="VMK2" s="2"/>
      <c r="VML2" s="2"/>
      <c r="VMM2" s="2"/>
      <c r="VMN2" s="2"/>
      <c r="VMO2" s="2"/>
      <c r="VMP2" s="2"/>
      <c r="VMQ2" s="2"/>
      <c r="VMR2" s="2"/>
      <c r="VMS2" s="2"/>
      <c r="VMT2" s="2"/>
      <c r="VMU2" s="2"/>
      <c r="VMV2" s="2"/>
      <c r="VMW2" s="2" t="s">
        <v>0</v>
      </c>
      <c r="VMX2" s="2"/>
      <c r="VMY2" s="2"/>
      <c r="VMZ2" s="2"/>
      <c r="VNA2" s="2"/>
      <c r="VNB2" s="2"/>
      <c r="VNC2" s="2"/>
      <c r="VND2" s="2"/>
      <c r="VNE2" s="2"/>
      <c r="VNF2" s="2"/>
      <c r="VNG2" s="2"/>
      <c r="VNH2" s="2"/>
      <c r="VNI2" s="2"/>
      <c r="VNJ2" s="2"/>
      <c r="VNK2" s="2"/>
      <c r="VNL2" s="2"/>
      <c r="VNM2" s="2" t="s">
        <v>0</v>
      </c>
      <c r="VNN2" s="2"/>
      <c r="VNO2" s="2"/>
      <c r="VNP2" s="2"/>
      <c r="VNQ2" s="2"/>
      <c r="VNR2" s="2"/>
      <c r="VNS2" s="2"/>
      <c r="VNT2" s="2"/>
      <c r="VNU2" s="2"/>
      <c r="VNV2" s="2"/>
      <c r="VNW2" s="2"/>
      <c r="VNX2" s="2"/>
      <c r="VNY2" s="2"/>
      <c r="VNZ2" s="2"/>
      <c r="VOA2" s="2"/>
      <c r="VOB2" s="2"/>
      <c r="VOC2" s="2" t="s">
        <v>0</v>
      </c>
      <c r="VOD2" s="2"/>
      <c r="VOE2" s="2"/>
      <c r="VOF2" s="2"/>
      <c r="VOG2" s="2"/>
      <c r="VOH2" s="2"/>
      <c r="VOI2" s="2"/>
      <c r="VOJ2" s="2"/>
      <c r="VOK2" s="2"/>
      <c r="VOL2" s="2"/>
      <c r="VOM2" s="2"/>
      <c r="VON2" s="2"/>
      <c r="VOO2" s="2"/>
      <c r="VOP2" s="2"/>
      <c r="VOQ2" s="2"/>
      <c r="VOR2" s="2"/>
      <c r="VOS2" s="2" t="s">
        <v>0</v>
      </c>
      <c r="VOT2" s="2"/>
      <c r="VOU2" s="2"/>
      <c r="VOV2" s="2"/>
      <c r="VOW2" s="2"/>
      <c r="VOX2" s="2"/>
      <c r="VOY2" s="2"/>
      <c r="VOZ2" s="2"/>
      <c r="VPA2" s="2"/>
      <c r="VPB2" s="2"/>
      <c r="VPC2" s="2"/>
      <c r="VPD2" s="2"/>
      <c r="VPE2" s="2"/>
      <c r="VPF2" s="2"/>
      <c r="VPG2" s="2"/>
      <c r="VPH2" s="2"/>
      <c r="VPI2" s="2" t="s">
        <v>0</v>
      </c>
      <c r="VPJ2" s="2"/>
      <c r="VPK2" s="2"/>
      <c r="VPL2" s="2"/>
      <c r="VPM2" s="2"/>
      <c r="VPN2" s="2"/>
      <c r="VPO2" s="2"/>
      <c r="VPP2" s="2"/>
      <c r="VPQ2" s="2"/>
      <c r="VPR2" s="2"/>
      <c r="VPS2" s="2"/>
      <c r="VPT2" s="2"/>
      <c r="VPU2" s="2"/>
      <c r="VPV2" s="2"/>
      <c r="VPW2" s="2"/>
      <c r="VPX2" s="2"/>
      <c r="VPY2" s="2" t="s">
        <v>0</v>
      </c>
      <c r="VPZ2" s="2"/>
      <c r="VQA2" s="2"/>
      <c r="VQB2" s="2"/>
      <c r="VQC2" s="2"/>
      <c r="VQD2" s="2"/>
      <c r="VQE2" s="2"/>
      <c r="VQF2" s="2"/>
      <c r="VQG2" s="2"/>
      <c r="VQH2" s="2"/>
      <c r="VQI2" s="2"/>
      <c r="VQJ2" s="2"/>
      <c r="VQK2" s="2"/>
      <c r="VQL2" s="2"/>
      <c r="VQM2" s="2"/>
      <c r="VQN2" s="2"/>
      <c r="VQO2" s="2" t="s">
        <v>0</v>
      </c>
      <c r="VQP2" s="2"/>
      <c r="VQQ2" s="2"/>
      <c r="VQR2" s="2"/>
      <c r="VQS2" s="2"/>
      <c r="VQT2" s="2"/>
      <c r="VQU2" s="2"/>
      <c r="VQV2" s="2"/>
      <c r="VQW2" s="2"/>
      <c r="VQX2" s="2"/>
      <c r="VQY2" s="2"/>
      <c r="VQZ2" s="2"/>
      <c r="VRA2" s="2"/>
      <c r="VRB2" s="2"/>
      <c r="VRC2" s="2"/>
      <c r="VRD2" s="2"/>
      <c r="VRE2" s="2" t="s">
        <v>0</v>
      </c>
      <c r="VRF2" s="2"/>
      <c r="VRG2" s="2"/>
      <c r="VRH2" s="2"/>
      <c r="VRI2" s="2"/>
      <c r="VRJ2" s="2"/>
      <c r="VRK2" s="2"/>
      <c r="VRL2" s="2"/>
      <c r="VRM2" s="2"/>
      <c r="VRN2" s="2"/>
      <c r="VRO2" s="2"/>
      <c r="VRP2" s="2"/>
      <c r="VRQ2" s="2"/>
      <c r="VRR2" s="2"/>
      <c r="VRS2" s="2"/>
      <c r="VRT2" s="2"/>
      <c r="VRU2" s="2" t="s">
        <v>0</v>
      </c>
      <c r="VRV2" s="2"/>
      <c r="VRW2" s="2"/>
      <c r="VRX2" s="2"/>
      <c r="VRY2" s="2"/>
      <c r="VRZ2" s="2"/>
      <c r="VSA2" s="2"/>
      <c r="VSB2" s="2"/>
      <c r="VSC2" s="2"/>
      <c r="VSD2" s="2"/>
      <c r="VSE2" s="2"/>
      <c r="VSF2" s="2"/>
      <c r="VSG2" s="2"/>
      <c r="VSH2" s="2"/>
      <c r="VSI2" s="2"/>
      <c r="VSJ2" s="2"/>
      <c r="VSK2" s="2" t="s">
        <v>0</v>
      </c>
      <c r="VSL2" s="2"/>
      <c r="VSM2" s="2"/>
      <c r="VSN2" s="2"/>
      <c r="VSO2" s="2"/>
      <c r="VSP2" s="2"/>
      <c r="VSQ2" s="2"/>
      <c r="VSR2" s="2"/>
      <c r="VSS2" s="2"/>
      <c r="VST2" s="2"/>
      <c r="VSU2" s="2"/>
      <c r="VSV2" s="2"/>
      <c r="VSW2" s="2"/>
      <c r="VSX2" s="2"/>
      <c r="VSY2" s="2"/>
      <c r="VSZ2" s="2"/>
      <c r="VTA2" s="2" t="s">
        <v>0</v>
      </c>
      <c r="VTB2" s="2"/>
      <c r="VTC2" s="2"/>
      <c r="VTD2" s="2"/>
      <c r="VTE2" s="2"/>
      <c r="VTF2" s="2"/>
      <c r="VTG2" s="2"/>
      <c r="VTH2" s="2"/>
      <c r="VTI2" s="2"/>
      <c r="VTJ2" s="2"/>
      <c r="VTK2" s="2"/>
      <c r="VTL2" s="2"/>
      <c r="VTM2" s="2"/>
      <c r="VTN2" s="2"/>
      <c r="VTO2" s="2"/>
      <c r="VTP2" s="2"/>
      <c r="VTQ2" s="2" t="s">
        <v>0</v>
      </c>
      <c r="VTR2" s="2"/>
      <c r="VTS2" s="2"/>
      <c r="VTT2" s="2"/>
      <c r="VTU2" s="2"/>
      <c r="VTV2" s="2"/>
      <c r="VTW2" s="2"/>
      <c r="VTX2" s="2"/>
      <c r="VTY2" s="2"/>
      <c r="VTZ2" s="2"/>
      <c r="VUA2" s="2"/>
      <c r="VUB2" s="2"/>
      <c r="VUC2" s="2"/>
      <c r="VUD2" s="2"/>
      <c r="VUE2" s="2"/>
      <c r="VUF2" s="2"/>
      <c r="VUG2" s="2" t="s">
        <v>0</v>
      </c>
      <c r="VUH2" s="2"/>
      <c r="VUI2" s="2"/>
      <c r="VUJ2" s="2"/>
      <c r="VUK2" s="2"/>
      <c r="VUL2" s="2"/>
      <c r="VUM2" s="2"/>
      <c r="VUN2" s="2"/>
      <c r="VUO2" s="2"/>
      <c r="VUP2" s="2"/>
      <c r="VUQ2" s="2"/>
      <c r="VUR2" s="2"/>
      <c r="VUS2" s="2"/>
      <c r="VUT2" s="2"/>
      <c r="VUU2" s="2"/>
      <c r="VUV2" s="2"/>
      <c r="VUW2" s="2" t="s">
        <v>0</v>
      </c>
      <c r="VUX2" s="2"/>
      <c r="VUY2" s="2"/>
      <c r="VUZ2" s="2"/>
      <c r="VVA2" s="2"/>
      <c r="VVB2" s="2"/>
      <c r="VVC2" s="2"/>
      <c r="VVD2" s="2"/>
      <c r="VVE2" s="2"/>
      <c r="VVF2" s="2"/>
      <c r="VVG2" s="2"/>
      <c r="VVH2" s="2"/>
      <c r="VVI2" s="2"/>
      <c r="VVJ2" s="2"/>
      <c r="VVK2" s="2"/>
      <c r="VVL2" s="2"/>
      <c r="VVM2" s="2" t="s">
        <v>0</v>
      </c>
      <c r="VVN2" s="2"/>
      <c r="VVO2" s="2"/>
      <c r="VVP2" s="2"/>
      <c r="VVQ2" s="2"/>
      <c r="VVR2" s="2"/>
      <c r="VVS2" s="2"/>
      <c r="VVT2" s="2"/>
      <c r="VVU2" s="2"/>
      <c r="VVV2" s="2"/>
      <c r="VVW2" s="2"/>
      <c r="VVX2" s="2"/>
      <c r="VVY2" s="2"/>
      <c r="VVZ2" s="2"/>
      <c r="VWA2" s="2"/>
      <c r="VWB2" s="2"/>
      <c r="VWC2" s="2" t="s">
        <v>0</v>
      </c>
      <c r="VWD2" s="2"/>
      <c r="VWE2" s="2"/>
      <c r="VWF2" s="2"/>
      <c r="VWG2" s="2"/>
      <c r="VWH2" s="2"/>
      <c r="VWI2" s="2"/>
      <c r="VWJ2" s="2"/>
      <c r="VWK2" s="2"/>
      <c r="VWL2" s="2"/>
      <c r="VWM2" s="2"/>
      <c r="VWN2" s="2"/>
      <c r="VWO2" s="2"/>
      <c r="VWP2" s="2"/>
      <c r="VWQ2" s="2"/>
      <c r="VWR2" s="2"/>
      <c r="VWS2" s="2" t="s">
        <v>0</v>
      </c>
      <c r="VWT2" s="2"/>
      <c r="VWU2" s="2"/>
      <c r="VWV2" s="2"/>
      <c r="VWW2" s="2"/>
      <c r="VWX2" s="2"/>
      <c r="VWY2" s="2"/>
      <c r="VWZ2" s="2"/>
      <c r="VXA2" s="2"/>
      <c r="VXB2" s="2"/>
      <c r="VXC2" s="2"/>
      <c r="VXD2" s="2"/>
      <c r="VXE2" s="2"/>
      <c r="VXF2" s="2"/>
      <c r="VXG2" s="2"/>
      <c r="VXH2" s="2"/>
      <c r="VXI2" s="2" t="s">
        <v>0</v>
      </c>
      <c r="VXJ2" s="2"/>
      <c r="VXK2" s="2"/>
      <c r="VXL2" s="2"/>
      <c r="VXM2" s="2"/>
      <c r="VXN2" s="2"/>
      <c r="VXO2" s="2"/>
      <c r="VXP2" s="2"/>
      <c r="VXQ2" s="2"/>
      <c r="VXR2" s="2"/>
      <c r="VXS2" s="2"/>
      <c r="VXT2" s="2"/>
      <c r="VXU2" s="2"/>
      <c r="VXV2" s="2"/>
      <c r="VXW2" s="2"/>
      <c r="VXX2" s="2"/>
      <c r="VXY2" s="2" t="s">
        <v>0</v>
      </c>
      <c r="VXZ2" s="2"/>
      <c r="VYA2" s="2"/>
      <c r="VYB2" s="2"/>
      <c r="VYC2" s="2"/>
      <c r="VYD2" s="2"/>
      <c r="VYE2" s="2"/>
      <c r="VYF2" s="2"/>
      <c r="VYG2" s="2"/>
      <c r="VYH2" s="2"/>
      <c r="VYI2" s="2"/>
      <c r="VYJ2" s="2"/>
      <c r="VYK2" s="2"/>
      <c r="VYL2" s="2"/>
      <c r="VYM2" s="2"/>
      <c r="VYN2" s="2"/>
      <c r="VYO2" s="2" t="s">
        <v>0</v>
      </c>
      <c r="VYP2" s="2"/>
      <c r="VYQ2" s="2"/>
      <c r="VYR2" s="2"/>
      <c r="VYS2" s="2"/>
      <c r="VYT2" s="2"/>
      <c r="VYU2" s="2"/>
      <c r="VYV2" s="2"/>
      <c r="VYW2" s="2"/>
      <c r="VYX2" s="2"/>
      <c r="VYY2" s="2"/>
      <c r="VYZ2" s="2"/>
      <c r="VZA2" s="2"/>
      <c r="VZB2" s="2"/>
      <c r="VZC2" s="2"/>
      <c r="VZD2" s="2"/>
      <c r="VZE2" s="2" t="s">
        <v>0</v>
      </c>
      <c r="VZF2" s="2"/>
      <c r="VZG2" s="2"/>
      <c r="VZH2" s="2"/>
      <c r="VZI2" s="2"/>
      <c r="VZJ2" s="2"/>
      <c r="VZK2" s="2"/>
      <c r="VZL2" s="2"/>
      <c r="VZM2" s="2"/>
      <c r="VZN2" s="2"/>
      <c r="VZO2" s="2"/>
      <c r="VZP2" s="2"/>
      <c r="VZQ2" s="2"/>
      <c r="VZR2" s="2"/>
      <c r="VZS2" s="2"/>
      <c r="VZT2" s="2"/>
      <c r="VZU2" s="2" t="s">
        <v>0</v>
      </c>
      <c r="VZV2" s="2"/>
      <c r="VZW2" s="2"/>
      <c r="VZX2" s="2"/>
      <c r="VZY2" s="2"/>
      <c r="VZZ2" s="2"/>
      <c r="WAA2" s="2"/>
      <c r="WAB2" s="2"/>
      <c r="WAC2" s="2"/>
      <c r="WAD2" s="2"/>
      <c r="WAE2" s="2"/>
      <c r="WAF2" s="2"/>
      <c r="WAG2" s="2"/>
      <c r="WAH2" s="2"/>
      <c r="WAI2" s="2"/>
      <c r="WAJ2" s="2"/>
      <c r="WAK2" s="2" t="s">
        <v>0</v>
      </c>
      <c r="WAL2" s="2"/>
      <c r="WAM2" s="2"/>
      <c r="WAN2" s="2"/>
      <c r="WAO2" s="2"/>
      <c r="WAP2" s="2"/>
      <c r="WAQ2" s="2"/>
      <c r="WAR2" s="2"/>
      <c r="WAS2" s="2"/>
      <c r="WAT2" s="2"/>
      <c r="WAU2" s="2"/>
      <c r="WAV2" s="2"/>
      <c r="WAW2" s="2"/>
      <c r="WAX2" s="2"/>
      <c r="WAY2" s="2"/>
      <c r="WAZ2" s="2"/>
      <c r="WBA2" s="2" t="s">
        <v>0</v>
      </c>
      <c r="WBB2" s="2"/>
      <c r="WBC2" s="2"/>
      <c r="WBD2" s="2"/>
      <c r="WBE2" s="2"/>
      <c r="WBF2" s="2"/>
      <c r="WBG2" s="2"/>
      <c r="WBH2" s="2"/>
      <c r="WBI2" s="2"/>
      <c r="WBJ2" s="2"/>
      <c r="WBK2" s="2"/>
      <c r="WBL2" s="2"/>
      <c r="WBM2" s="2"/>
      <c r="WBN2" s="2"/>
      <c r="WBO2" s="2"/>
      <c r="WBP2" s="2"/>
      <c r="WBQ2" s="2" t="s">
        <v>0</v>
      </c>
      <c r="WBR2" s="2"/>
      <c r="WBS2" s="2"/>
      <c r="WBT2" s="2"/>
      <c r="WBU2" s="2"/>
      <c r="WBV2" s="2"/>
      <c r="WBW2" s="2"/>
      <c r="WBX2" s="2"/>
      <c r="WBY2" s="2"/>
      <c r="WBZ2" s="2"/>
      <c r="WCA2" s="2"/>
      <c r="WCB2" s="2"/>
      <c r="WCC2" s="2"/>
      <c r="WCD2" s="2"/>
      <c r="WCE2" s="2"/>
      <c r="WCF2" s="2"/>
      <c r="WCG2" s="2" t="s">
        <v>0</v>
      </c>
      <c r="WCH2" s="2"/>
      <c r="WCI2" s="2"/>
      <c r="WCJ2" s="2"/>
      <c r="WCK2" s="2"/>
      <c r="WCL2" s="2"/>
      <c r="WCM2" s="2"/>
      <c r="WCN2" s="2"/>
      <c r="WCO2" s="2"/>
      <c r="WCP2" s="2"/>
      <c r="WCQ2" s="2"/>
      <c r="WCR2" s="2"/>
      <c r="WCS2" s="2"/>
      <c r="WCT2" s="2"/>
      <c r="WCU2" s="2"/>
      <c r="WCV2" s="2"/>
      <c r="WCW2" s="2" t="s">
        <v>0</v>
      </c>
      <c r="WCX2" s="2"/>
      <c r="WCY2" s="2"/>
      <c r="WCZ2" s="2"/>
      <c r="WDA2" s="2"/>
      <c r="WDB2" s="2"/>
      <c r="WDC2" s="2"/>
      <c r="WDD2" s="2"/>
      <c r="WDE2" s="2"/>
      <c r="WDF2" s="2"/>
      <c r="WDG2" s="2"/>
      <c r="WDH2" s="2"/>
      <c r="WDI2" s="2"/>
      <c r="WDJ2" s="2"/>
      <c r="WDK2" s="2"/>
      <c r="WDL2" s="2"/>
      <c r="WDM2" s="2" t="s">
        <v>0</v>
      </c>
      <c r="WDN2" s="2"/>
      <c r="WDO2" s="2"/>
      <c r="WDP2" s="2"/>
      <c r="WDQ2" s="2"/>
      <c r="WDR2" s="2"/>
      <c r="WDS2" s="2"/>
      <c r="WDT2" s="2"/>
      <c r="WDU2" s="2"/>
      <c r="WDV2" s="2"/>
      <c r="WDW2" s="2"/>
      <c r="WDX2" s="2"/>
      <c r="WDY2" s="2"/>
      <c r="WDZ2" s="2"/>
      <c r="WEA2" s="2"/>
      <c r="WEB2" s="2"/>
      <c r="WEC2" s="2" t="s">
        <v>0</v>
      </c>
      <c r="WED2" s="2"/>
      <c r="WEE2" s="2"/>
      <c r="WEF2" s="2"/>
      <c r="WEG2" s="2"/>
      <c r="WEH2" s="2"/>
      <c r="WEI2" s="2"/>
      <c r="WEJ2" s="2"/>
      <c r="WEK2" s="2"/>
      <c r="WEL2" s="2"/>
      <c r="WEM2" s="2"/>
      <c r="WEN2" s="2"/>
      <c r="WEO2" s="2"/>
      <c r="WEP2" s="2"/>
      <c r="WEQ2" s="2"/>
      <c r="WER2" s="2"/>
      <c r="WES2" s="2" t="s">
        <v>0</v>
      </c>
      <c r="WET2" s="2"/>
      <c r="WEU2" s="2"/>
      <c r="WEV2" s="2"/>
      <c r="WEW2" s="2"/>
      <c r="WEX2" s="2"/>
      <c r="WEY2" s="2"/>
      <c r="WEZ2" s="2"/>
      <c r="WFA2" s="2"/>
      <c r="WFB2" s="2"/>
      <c r="WFC2" s="2"/>
      <c r="WFD2" s="2"/>
      <c r="WFE2" s="2"/>
      <c r="WFF2" s="2"/>
      <c r="WFG2" s="2"/>
      <c r="WFH2" s="2"/>
      <c r="WFI2" s="2" t="s">
        <v>0</v>
      </c>
      <c r="WFJ2" s="2"/>
      <c r="WFK2" s="2"/>
      <c r="WFL2" s="2"/>
      <c r="WFM2" s="2"/>
      <c r="WFN2" s="2"/>
      <c r="WFO2" s="2"/>
      <c r="WFP2" s="2"/>
      <c r="WFQ2" s="2"/>
      <c r="WFR2" s="2"/>
      <c r="WFS2" s="2"/>
      <c r="WFT2" s="2"/>
      <c r="WFU2" s="2"/>
      <c r="WFV2" s="2"/>
      <c r="WFW2" s="2"/>
      <c r="WFX2" s="2"/>
      <c r="WFY2" s="2" t="s">
        <v>0</v>
      </c>
      <c r="WFZ2" s="2"/>
      <c r="WGA2" s="2"/>
      <c r="WGB2" s="2"/>
      <c r="WGC2" s="2"/>
      <c r="WGD2" s="2"/>
      <c r="WGE2" s="2"/>
      <c r="WGF2" s="2"/>
      <c r="WGG2" s="2"/>
      <c r="WGH2" s="2"/>
      <c r="WGI2" s="2"/>
      <c r="WGJ2" s="2"/>
      <c r="WGK2" s="2"/>
      <c r="WGL2" s="2"/>
      <c r="WGM2" s="2"/>
      <c r="WGN2" s="2"/>
      <c r="WGO2" s="2" t="s">
        <v>0</v>
      </c>
      <c r="WGP2" s="2"/>
      <c r="WGQ2" s="2"/>
      <c r="WGR2" s="2"/>
      <c r="WGS2" s="2"/>
      <c r="WGT2" s="2"/>
      <c r="WGU2" s="2"/>
      <c r="WGV2" s="2"/>
      <c r="WGW2" s="2"/>
      <c r="WGX2" s="2"/>
      <c r="WGY2" s="2"/>
      <c r="WGZ2" s="2"/>
      <c r="WHA2" s="2"/>
      <c r="WHB2" s="2"/>
      <c r="WHC2" s="2"/>
      <c r="WHD2" s="2"/>
      <c r="WHE2" s="2" t="s">
        <v>0</v>
      </c>
      <c r="WHF2" s="2"/>
      <c r="WHG2" s="2"/>
      <c r="WHH2" s="2"/>
      <c r="WHI2" s="2"/>
      <c r="WHJ2" s="2"/>
      <c r="WHK2" s="2"/>
      <c r="WHL2" s="2"/>
      <c r="WHM2" s="2"/>
      <c r="WHN2" s="2"/>
      <c r="WHO2" s="2"/>
      <c r="WHP2" s="2"/>
      <c r="WHQ2" s="2"/>
      <c r="WHR2" s="2"/>
      <c r="WHS2" s="2"/>
      <c r="WHT2" s="2"/>
      <c r="WHU2" s="2" t="s">
        <v>0</v>
      </c>
      <c r="WHV2" s="2"/>
      <c r="WHW2" s="2"/>
      <c r="WHX2" s="2"/>
      <c r="WHY2" s="2"/>
      <c r="WHZ2" s="2"/>
      <c r="WIA2" s="2"/>
      <c r="WIB2" s="2"/>
      <c r="WIC2" s="2"/>
      <c r="WID2" s="2"/>
      <c r="WIE2" s="2"/>
      <c r="WIF2" s="2"/>
      <c r="WIG2" s="2"/>
      <c r="WIH2" s="2"/>
      <c r="WII2" s="2"/>
      <c r="WIJ2" s="2"/>
      <c r="WIK2" s="2" t="s">
        <v>0</v>
      </c>
      <c r="WIL2" s="2"/>
      <c r="WIM2" s="2"/>
      <c r="WIN2" s="2"/>
      <c r="WIO2" s="2"/>
      <c r="WIP2" s="2"/>
      <c r="WIQ2" s="2"/>
      <c r="WIR2" s="2"/>
      <c r="WIS2" s="2"/>
      <c r="WIT2" s="2"/>
      <c r="WIU2" s="2"/>
      <c r="WIV2" s="2"/>
      <c r="WIW2" s="2"/>
      <c r="WIX2" s="2"/>
      <c r="WIY2" s="2"/>
      <c r="WIZ2" s="2"/>
      <c r="WJA2" s="2" t="s">
        <v>0</v>
      </c>
      <c r="WJB2" s="2"/>
      <c r="WJC2" s="2"/>
      <c r="WJD2" s="2"/>
      <c r="WJE2" s="2"/>
      <c r="WJF2" s="2"/>
      <c r="WJG2" s="2"/>
      <c r="WJH2" s="2"/>
      <c r="WJI2" s="2"/>
      <c r="WJJ2" s="2"/>
      <c r="WJK2" s="2"/>
      <c r="WJL2" s="2"/>
      <c r="WJM2" s="2"/>
      <c r="WJN2" s="2"/>
      <c r="WJO2" s="2"/>
      <c r="WJP2" s="2"/>
      <c r="WJQ2" s="2" t="s">
        <v>0</v>
      </c>
      <c r="WJR2" s="2"/>
      <c r="WJS2" s="2"/>
      <c r="WJT2" s="2"/>
      <c r="WJU2" s="2"/>
      <c r="WJV2" s="2"/>
      <c r="WJW2" s="2"/>
      <c r="WJX2" s="2"/>
      <c r="WJY2" s="2"/>
      <c r="WJZ2" s="2"/>
      <c r="WKA2" s="2"/>
      <c r="WKB2" s="2"/>
      <c r="WKC2" s="2"/>
      <c r="WKD2" s="2"/>
      <c r="WKE2" s="2"/>
      <c r="WKF2" s="2"/>
      <c r="WKG2" s="2" t="s">
        <v>0</v>
      </c>
      <c r="WKH2" s="2"/>
      <c r="WKI2" s="2"/>
      <c r="WKJ2" s="2"/>
      <c r="WKK2" s="2"/>
      <c r="WKL2" s="2"/>
      <c r="WKM2" s="2"/>
      <c r="WKN2" s="2"/>
      <c r="WKO2" s="2"/>
      <c r="WKP2" s="2"/>
      <c r="WKQ2" s="2"/>
      <c r="WKR2" s="2"/>
      <c r="WKS2" s="2"/>
      <c r="WKT2" s="2"/>
      <c r="WKU2" s="2"/>
      <c r="WKV2" s="2"/>
      <c r="WKW2" s="2" t="s">
        <v>0</v>
      </c>
      <c r="WKX2" s="2"/>
      <c r="WKY2" s="2"/>
      <c r="WKZ2" s="2"/>
      <c r="WLA2" s="2"/>
      <c r="WLB2" s="2"/>
      <c r="WLC2" s="2"/>
      <c r="WLD2" s="2"/>
      <c r="WLE2" s="2"/>
      <c r="WLF2" s="2"/>
      <c r="WLG2" s="2"/>
      <c r="WLH2" s="2"/>
      <c r="WLI2" s="2"/>
      <c r="WLJ2" s="2"/>
      <c r="WLK2" s="2"/>
      <c r="WLL2" s="2"/>
      <c r="WLM2" s="2" t="s">
        <v>0</v>
      </c>
      <c r="WLN2" s="2"/>
      <c r="WLO2" s="2"/>
      <c r="WLP2" s="2"/>
      <c r="WLQ2" s="2"/>
      <c r="WLR2" s="2"/>
      <c r="WLS2" s="2"/>
      <c r="WLT2" s="2"/>
      <c r="WLU2" s="2"/>
      <c r="WLV2" s="2"/>
      <c r="WLW2" s="2"/>
      <c r="WLX2" s="2"/>
      <c r="WLY2" s="2"/>
      <c r="WLZ2" s="2"/>
      <c r="WMA2" s="2"/>
      <c r="WMB2" s="2"/>
      <c r="WMC2" s="2" t="s">
        <v>0</v>
      </c>
      <c r="WMD2" s="2"/>
      <c r="WME2" s="2"/>
      <c r="WMF2" s="2"/>
      <c r="WMG2" s="2"/>
      <c r="WMH2" s="2"/>
      <c r="WMI2" s="2"/>
      <c r="WMJ2" s="2"/>
      <c r="WMK2" s="2"/>
      <c r="WML2" s="2"/>
      <c r="WMM2" s="2"/>
      <c r="WMN2" s="2"/>
      <c r="WMO2" s="2"/>
      <c r="WMP2" s="2"/>
      <c r="WMQ2" s="2"/>
      <c r="WMR2" s="2"/>
      <c r="WMS2" s="2" t="s">
        <v>0</v>
      </c>
      <c r="WMT2" s="2"/>
      <c r="WMU2" s="2"/>
      <c r="WMV2" s="2"/>
      <c r="WMW2" s="2"/>
      <c r="WMX2" s="2"/>
      <c r="WMY2" s="2"/>
      <c r="WMZ2" s="2"/>
      <c r="WNA2" s="2"/>
      <c r="WNB2" s="2"/>
      <c r="WNC2" s="2"/>
      <c r="WND2" s="2"/>
      <c r="WNE2" s="2"/>
      <c r="WNF2" s="2"/>
      <c r="WNG2" s="2"/>
      <c r="WNH2" s="2"/>
      <c r="WNI2" s="2" t="s">
        <v>0</v>
      </c>
      <c r="WNJ2" s="2"/>
      <c r="WNK2" s="2"/>
      <c r="WNL2" s="2"/>
      <c r="WNM2" s="2"/>
      <c r="WNN2" s="2"/>
      <c r="WNO2" s="2"/>
      <c r="WNP2" s="2"/>
      <c r="WNQ2" s="2"/>
      <c r="WNR2" s="2"/>
      <c r="WNS2" s="2"/>
      <c r="WNT2" s="2"/>
      <c r="WNU2" s="2"/>
      <c r="WNV2" s="2"/>
      <c r="WNW2" s="2"/>
      <c r="WNX2" s="2"/>
      <c r="WNY2" s="2" t="s">
        <v>0</v>
      </c>
      <c r="WNZ2" s="2"/>
      <c r="WOA2" s="2"/>
      <c r="WOB2" s="2"/>
      <c r="WOC2" s="2"/>
      <c r="WOD2" s="2"/>
      <c r="WOE2" s="2"/>
      <c r="WOF2" s="2"/>
      <c r="WOG2" s="2"/>
      <c r="WOH2" s="2"/>
      <c r="WOI2" s="2"/>
      <c r="WOJ2" s="2"/>
      <c r="WOK2" s="2"/>
      <c r="WOL2" s="2"/>
      <c r="WOM2" s="2"/>
      <c r="WON2" s="2"/>
      <c r="WOO2" s="2" t="s">
        <v>0</v>
      </c>
      <c r="WOP2" s="2"/>
      <c r="WOQ2" s="2"/>
      <c r="WOR2" s="2"/>
      <c r="WOS2" s="2"/>
      <c r="WOT2" s="2"/>
      <c r="WOU2" s="2"/>
      <c r="WOV2" s="2"/>
      <c r="WOW2" s="2"/>
      <c r="WOX2" s="2"/>
      <c r="WOY2" s="2"/>
      <c r="WOZ2" s="2"/>
      <c r="WPA2" s="2"/>
      <c r="WPB2" s="2"/>
      <c r="WPC2" s="2"/>
      <c r="WPD2" s="2"/>
      <c r="WPE2" s="2" t="s">
        <v>0</v>
      </c>
      <c r="WPF2" s="2"/>
      <c r="WPG2" s="2"/>
      <c r="WPH2" s="2"/>
      <c r="WPI2" s="2"/>
      <c r="WPJ2" s="2"/>
      <c r="WPK2" s="2"/>
      <c r="WPL2" s="2"/>
      <c r="WPM2" s="2"/>
      <c r="WPN2" s="2"/>
      <c r="WPO2" s="2"/>
      <c r="WPP2" s="2"/>
      <c r="WPQ2" s="2"/>
      <c r="WPR2" s="2"/>
      <c r="WPS2" s="2"/>
      <c r="WPT2" s="2"/>
      <c r="WPU2" s="2" t="s">
        <v>0</v>
      </c>
      <c r="WPV2" s="2"/>
      <c r="WPW2" s="2"/>
      <c r="WPX2" s="2"/>
      <c r="WPY2" s="2"/>
      <c r="WPZ2" s="2"/>
      <c r="WQA2" s="2"/>
      <c r="WQB2" s="2"/>
      <c r="WQC2" s="2"/>
      <c r="WQD2" s="2"/>
      <c r="WQE2" s="2"/>
      <c r="WQF2" s="2"/>
      <c r="WQG2" s="2"/>
      <c r="WQH2" s="2"/>
      <c r="WQI2" s="2"/>
      <c r="WQJ2" s="2"/>
      <c r="WQK2" s="2" t="s">
        <v>0</v>
      </c>
      <c r="WQL2" s="2"/>
      <c r="WQM2" s="2"/>
      <c r="WQN2" s="2"/>
      <c r="WQO2" s="2"/>
      <c r="WQP2" s="2"/>
      <c r="WQQ2" s="2"/>
      <c r="WQR2" s="2"/>
      <c r="WQS2" s="2"/>
      <c r="WQT2" s="2"/>
      <c r="WQU2" s="2"/>
      <c r="WQV2" s="2"/>
      <c r="WQW2" s="2"/>
      <c r="WQX2" s="2"/>
      <c r="WQY2" s="2"/>
      <c r="WQZ2" s="2"/>
      <c r="WRA2" s="2" t="s">
        <v>0</v>
      </c>
      <c r="WRB2" s="2"/>
      <c r="WRC2" s="2"/>
      <c r="WRD2" s="2"/>
      <c r="WRE2" s="2"/>
      <c r="WRF2" s="2"/>
      <c r="WRG2" s="2"/>
      <c r="WRH2" s="2"/>
      <c r="WRI2" s="2"/>
      <c r="WRJ2" s="2"/>
      <c r="WRK2" s="2"/>
      <c r="WRL2" s="2"/>
      <c r="WRM2" s="2"/>
      <c r="WRN2" s="2"/>
      <c r="WRO2" s="2"/>
      <c r="WRP2" s="2"/>
      <c r="WRQ2" s="2" t="s">
        <v>0</v>
      </c>
      <c r="WRR2" s="2"/>
      <c r="WRS2" s="2"/>
      <c r="WRT2" s="2"/>
      <c r="WRU2" s="2"/>
      <c r="WRV2" s="2"/>
      <c r="WRW2" s="2"/>
      <c r="WRX2" s="2"/>
      <c r="WRY2" s="2"/>
      <c r="WRZ2" s="2"/>
      <c r="WSA2" s="2"/>
      <c r="WSB2" s="2"/>
      <c r="WSC2" s="2"/>
      <c r="WSD2" s="2"/>
      <c r="WSE2" s="2"/>
      <c r="WSF2" s="2"/>
      <c r="WSG2" s="2" t="s">
        <v>0</v>
      </c>
      <c r="WSH2" s="2"/>
      <c r="WSI2" s="2"/>
      <c r="WSJ2" s="2"/>
      <c r="WSK2" s="2"/>
      <c r="WSL2" s="2"/>
      <c r="WSM2" s="2"/>
      <c r="WSN2" s="2"/>
      <c r="WSO2" s="2"/>
      <c r="WSP2" s="2"/>
      <c r="WSQ2" s="2"/>
      <c r="WSR2" s="2"/>
      <c r="WSS2" s="2"/>
      <c r="WST2" s="2"/>
      <c r="WSU2" s="2"/>
      <c r="WSV2" s="2"/>
      <c r="WSW2" s="2" t="s">
        <v>0</v>
      </c>
      <c r="WSX2" s="2"/>
      <c r="WSY2" s="2"/>
      <c r="WSZ2" s="2"/>
      <c r="WTA2" s="2"/>
      <c r="WTB2" s="2"/>
      <c r="WTC2" s="2"/>
      <c r="WTD2" s="2"/>
      <c r="WTE2" s="2"/>
      <c r="WTF2" s="2"/>
      <c r="WTG2" s="2"/>
      <c r="WTH2" s="2"/>
      <c r="WTI2" s="2"/>
      <c r="WTJ2" s="2"/>
      <c r="WTK2" s="2"/>
      <c r="WTL2" s="2"/>
      <c r="WTM2" s="2" t="s">
        <v>0</v>
      </c>
      <c r="WTN2" s="2"/>
      <c r="WTO2" s="2"/>
      <c r="WTP2" s="2"/>
      <c r="WTQ2" s="2"/>
      <c r="WTR2" s="2"/>
      <c r="WTS2" s="2"/>
      <c r="WTT2" s="2"/>
      <c r="WTU2" s="2"/>
      <c r="WTV2" s="2"/>
      <c r="WTW2" s="2"/>
      <c r="WTX2" s="2"/>
      <c r="WTY2" s="2"/>
      <c r="WTZ2" s="2"/>
      <c r="WUA2" s="2"/>
      <c r="WUB2" s="2"/>
      <c r="WUC2" s="2" t="s">
        <v>0</v>
      </c>
      <c r="WUD2" s="2"/>
      <c r="WUE2" s="2"/>
      <c r="WUF2" s="2"/>
      <c r="WUG2" s="2"/>
      <c r="WUH2" s="2"/>
      <c r="WUI2" s="2"/>
      <c r="WUJ2" s="2"/>
      <c r="WUK2" s="2"/>
      <c r="WUL2" s="2"/>
      <c r="WUM2" s="2"/>
      <c r="WUN2" s="2"/>
      <c r="WUO2" s="2"/>
      <c r="WUP2" s="2"/>
      <c r="WUQ2" s="2"/>
      <c r="WUR2" s="2"/>
      <c r="WUS2" s="2" t="s">
        <v>0</v>
      </c>
      <c r="WUT2" s="2"/>
      <c r="WUU2" s="2"/>
      <c r="WUV2" s="2"/>
      <c r="WUW2" s="2"/>
      <c r="WUX2" s="2"/>
      <c r="WUY2" s="2"/>
      <c r="WUZ2" s="2"/>
      <c r="WVA2" s="2"/>
      <c r="WVB2" s="2"/>
      <c r="WVC2" s="2"/>
      <c r="WVD2" s="2"/>
      <c r="WVE2" s="2"/>
      <c r="WVF2" s="2"/>
      <c r="WVG2" s="2"/>
      <c r="WVH2" s="2"/>
      <c r="WVI2" s="2" t="s">
        <v>0</v>
      </c>
      <c r="WVJ2" s="2"/>
      <c r="WVK2" s="2"/>
      <c r="WVL2" s="2"/>
      <c r="WVM2" s="2"/>
      <c r="WVN2" s="2"/>
      <c r="WVO2" s="2"/>
      <c r="WVP2" s="2"/>
      <c r="WVQ2" s="2"/>
      <c r="WVR2" s="2"/>
      <c r="WVS2" s="2"/>
      <c r="WVT2" s="2"/>
      <c r="WVU2" s="2"/>
      <c r="WVV2" s="2"/>
      <c r="WVW2" s="2"/>
      <c r="WVX2" s="2"/>
      <c r="WVY2" s="2" t="s">
        <v>0</v>
      </c>
      <c r="WVZ2" s="2"/>
      <c r="WWA2" s="2"/>
      <c r="WWB2" s="2"/>
      <c r="WWC2" s="2"/>
      <c r="WWD2" s="2"/>
      <c r="WWE2" s="2"/>
      <c r="WWF2" s="2"/>
      <c r="WWG2" s="2"/>
      <c r="WWH2" s="2"/>
      <c r="WWI2" s="2"/>
      <c r="WWJ2" s="2"/>
      <c r="WWK2" s="2"/>
      <c r="WWL2" s="2"/>
      <c r="WWM2" s="2"/>
      <c r="WWN2" s="2"/>
      <c r="WWO2" s="2" t="s">
        <v>0</v>
      </c>
      <c r="WWP2" s="2"/>
      <c r="WWQ2" s="2"/>
      <c r="WWR2" s="2"/>
      <c r="WWS2" s="2"/>
      <c r="WWT2" s="2"/>
      <c r="WWU2" s="2"/>
      <c r="WWV2" s="2"/>
      <c r="WWW2" s="2"/>
      <c r="WWX2" s="2"/>
      <c r="WWY2" s="2"/>
      <c r="WWZ2" s="2"/>
      <c r="WXA2" s="2"/>
      <c r="WXB2" s="2"/>
      <c r="WXC2" s="2"/>
      <c r="WXD2" s="2"/>
      <c r="WXE2" s="2" t="s">
        <v>0</v>
      </c>
      <c r="WXF2" s="2"/>
      <c r="WXG2" s="2"/>
      <c r="WXH2" s="2"/>
      <c r="WXI2" s="2"/>
      <c r="WXJ2" s="2"/>
      <c r="WXK2" s="2"/>
      <c r="WXL2" s="2"/>
      <c r="WXM2" s="2"/>
      <c r="WXN2" s="2"/>
      <c r="WXO2" s="2"/>
      <c r="WXP2" s="2"/>
      <c r="WXQ2" s="2"/>
      <c r="WXR2" s="2"/>
      <c r="WXS2" s="2"/>
      <c r="WXT2" s="2"/>
      <c r="WXU2" s="2" t="s">
        <v>0</v>
      </c>
      <c r="WXV2" s="2"/>
      <c r="WXW2" s="2"/>
      <c r="WXX2" s="2"/>
      <c r="WXY2" s="2"/>
      <c r="WXZ2" s="2"/>
      <c r="WYA2" s="2"/>
      <c r="WYB2" s="2"/>
      <c r="WYC2" s="2"/>
      <c r="WYD2" s="2"/>
      <c r="WYE2" s="2"/>
      <c r="WYF2" s="2"/>
      <c r="WYG2" s="2"/>
      <c r="WYH2" s="2"/>
      <c r="WYI2" s="2"/>
      <c r="WYJ2" s="2"/>
      <c r="WYK2" s="2" t="s">
        <v>0</v>
      </c>
      <c r="WYL2" s="2"/>
      <c r="WYM2" s="2"/>
      <c r="WYN2" s="2"/>
      <c r="WYO2" s="2"/>
      <c r="WYP2" s="2"/>
      <c r="WYQ2" s="2"/>
      <c r="WYR2" s="2"/>
      <c r="WYS2" s="2"/>
      <c r="WYT2" s="2"/>
      <c r="WYU2" s="2"/>
      <c r="WYV2" s="2"/>
      <c r="WYW2" s="2"/>
      <c r="WYX2" s="2"/>
      <c r="WYY2" s="2"/>
      <c r="WYZ2" s="2"/>
      <c r="WZA2" s="2" t="s">
        <v>0</v>
      </c>
      <c r="WZB2" s="2"/>
      <c r="WZC2" s="2"/>
      <c r="WZD2" s="2"/>
      <c r="WZE2" s="2"/>
      <c r="WZF2" s="2"/>
      <c r="WZG2" s="2"/>
      <c r="WZH2" s="2"/>
      <c r="WZI2" s="2"/>
      <c r="WZJ2" s="2"/>
      <c r="WZK2" s="2"/>
      <c r="WZL2" s="2"/>
      <c r="WZM2" s="2"/>
      <c r="WZN2" s="2"/>
      <c r="WZO2" s="2"/>
      <c r="WZP2" s="2"/>
      <c r="WZQ2" s="2" t="s">
        <v>0</v>
      </c>
      <c r="WZR2" s="2"/>
      <c r="WZS2" s="2"/>
      <c r="WZT2" s="2"/>
      <c r="WZU2" s="2"/>
      <c r="WZV2" s="2"/>
      <c r="WZW2" s="2"/>
      <c r="WZX2" s="2"/>
      <c r="WZY2" s="2"/>
      <c r="WZZ2" s="2"/>
      <c r="XAA2" s="2"/>
      <c r="XAB2" s="2"/>
      <c r="XAC2" s="2"/>
      <c r="XAD2" s="2"/>
      <c r="XAE2" s="2"/>
      <c r="XAF2" s="2"/>
      <c r="XAG2" s="2" t="s">
        <v>0</v>
      </c>
      <c r="XAH2" s="2"/>
      <c r="XAI2" s="2"/>
      <c r="XAJ2" s="2"/>
      <c r="XAK2" s="2"/>
      <c r="XAL2" s="2"/>
      <c r="XAM2" s="2"/>
      <c r="XAN2" s="2"/>
      <c r="XAO2" s="2"/>
      <c r="XAP2" s="2"/>
      <c r="XAQ2" s="2"/>
      <c r="XAR2" s="2"/>
      <c r="XAS2" s="2"/>
      <c r="XAT2" s="2"/>
      <c r="XAU2" s="2"/>
      <c r="XAV2" s="2"/>
      <c r="XAW2" s="2" t="s">
        <v>0</v>
      </c>
      <c r="XAX2" s="2"/>
      <c r="XAY2" s="2"/>
      <c r="XAZ2" s="2"/>
      <c r="XBA2" s="2"/>
      <c r="XBB2" s="2"/>
      <c r="XBC2" s="2"/>
      <c r="XBD2" s="2"/>
      <c r="XBE2" s="2"/>
      <c r="XBF2" s="2"/>
      <c r="XBG2" s="2"/>
      <c r="XBH2" s="2"/>
      <c r="XBI2" s="2"/>
      <c r="XBJ2" s="2"/>
      <c r="XBK2" s="2"/>
      <c r="XBL2" s="2"/>
      <c r="XBM2" s="2" t="s">
        <v>0</v>
      </c>
      <c r="XBN2" s="2"/>
      <c r="XBO2" s="2"/>
      <c r="XBP2" s="2"/>
      <c r="XBQ2" s="2"/>
      <c r="XBR2" s="2"/>
      <c r="XBS2" s="2"/>
      <c r="XBT2" s="2"/>
      <c r="XBU2" s="2"/>
      <c r="XBV2" s="2"/>
      <c r="XBW2" s="2"/>
      <c r="XBX2" s="2"/>
      <c r="XBY2" s="2"/>
      <c r="XBZ2" s="2"/>
      <c r="XCA2" s="2"/>
      <c r="XCB2" s="2"/>
      <c r="XCC2" s="2" t="s">
        <v>0</v>
      </c>
      <c r="XCD2" s="2"/>
      <c r="XCE2" s="2"/>
      <c r="XCF2" s="2"/>
      <c r="XCG2" s="2"/>
      <c r="XCH2" s="2"/>
      <c r="XCI2" s="2"/>
      <c r="XCJ2" s="2"/>
      <c r="XCK2" s="2"/>
      <c r="XCL2" s="2"/>
      <c r="XCM2" s="2"/>
      <c r="XCN2" s="2"/>
      <c r="XCO2" s="2"/>
      <c r="XCP2" s="2"/>
      <c r="XCQ2" s="2"/>
      <c r="XCR2" s="2"/>
      <c r="XCS2" s="2" t="s">
        <v>0</v>
      </c>
      <c r="XCT2" s="2"/>
      <c r="XCU2" s="2"/>
      <c r="XCV2" s="2"/>
      <c r="XCW2" s="2"/>
      <c r="XCX2" s="2"/>
      <c r="XCY2" s="2"/>
      <c r="XCZ2" s="2"/>
      <c r="XDA2" s="2"/>
      <c r="XDB2" s="2"/>
      <c r="XDC2" s="2"/>
      <c r="XDD2" s="2"/>
      <c r="XDE2" s="2"/>
      <c r="XDF2" s="2"/>
      <c r="XDG2" s="2"/>
      <c r="XDH2" s="2"/>
      <c r="XDI2" s="2" t="s">
        <v>0</v>
      </c>
      <c r="XDJ2" s="2"/>
      <c r="XDK2" s="2"/>
      <c r="XDL2" s="2"/>
      <c r="XDM2" s="2"/>
      <c r="XDN2" s="2"/>
      <c r="XDO2" s="2"/>
      <c r="XDP2" s="2"/>
      <c r="XDQ2" s="2"/>
      <c r="XDR2" s="2"/>
      <c r="XDS2" s="2"/>
      <c r="XDT2" s="2"/>
      <c r="XDU2" s="2"/>
      <c r="XDV2" s="2"/>
      <c r="XDW2" s="2"/>
      <c r="XDX2" s="2"/>
      <c r="XDY2" s="2" t="s">
        <v>0</v>
      </c>
      <c r="XDZ2" s="2"/>
      <c r="XEA2" s="2"/>
      <c r="XEB2" s="2"/>
      <c r="XEC2" s="2"/>
      <c r="XED2" s="2"/>
      <c r="XEE2" s="2"/>
      <c r="XEF2" s="2"/>
      <c r="XEG2" s="2"/>
      <c r="XEH2" s="2"/>
      <c r="XEI2" s="2"/>
      <c r="XEJ2" s="2"/>
      <c r="XEK2" s="2"/>
      <c r="XEL2" s="2"/>
      <c r="XEM2" s="2"/>
      <c r="XEN2" s="2"/>
      <c r="XEO2" s="2" t="s">
        <v>0</v>
      </c>
      <c r="XEP2" s="2"/>
      <c r="XEQ2" s="2"/>
      <c r="XER2" s="2"/>
      <c r="XES2" s="2"/>
      <c r="XET2" s="2"/>
      <c r="XEU2" s="2"/>
      <c r="XEV2" s="2"/>
      <c r="XEW2" s="2"/>
      <c r="XEX2" s="2"/>
      <c r="XEY2" s="2"/>
      <c r="XEZ2" s="2"/>
      <c r="XFA2" s="2"/>
      <c r="XFB2" s="2"/>
      <c r="XFC2" s="2"/>
      <c r="XFD2" s="2"/>
    </row>
    <row r="4" spans="1:17">
      <c r="A4" s="327" t="s">
        <v>959</v>
      </c>
      <c r="B4" s="327"/>
      <c r="C4" s="327"/>
      <c r="D4" s="327"/>
      <c r="E4" s="327"/>
      <c r="F4" s="327"/>
      <c r="G4" s="327"/>
      <c r="H4" s="327"/>
      <c r="I4" s="327"/>
      <c r="J4" s="327"/>
      <c r="K4" s="327"/>
      <c r="L4" s="327"/>
      <c r="M4" s="327"/>
      <c r="N4" s="327"/>
      <c r="O4" s="327"/>
      <c r="P4" s="327"/>
      <c r="Q4" s="327"/>
    </row>
    <row r="5" spans="1:17">
      <c r="A5" s="328"/>
      <c r="B5" s="328"/>
      <c r="C5" s="328"/>
      <c r="D5" s="328"/>
      <c r="E5" s="328"/>
      <c r="F5" s="328"/>
      <c r="G5" s="328"/>
      <c r="H5" s="328"/>
      <c r="I5" s="328"/>
      <c r="J5" s="328"/>
      <c r="K5" s="328"/>
      <c r="L5" s="328"/>
      <c r="M5" s="328"/>
      <c r="N5" s="328"/>
      <c r="O5" s="328"/>
      <c r="P5" s="328"/>
      <c r="Q5" s="328"/>
    </row>
    <row r="6" spans="1:3">
      <c r="A6" t="s">
        <v>960</v>
      </c>
      <c r="C6" s="322"/>
    </row>
    <row r="7" ht="13.95" customHeight="1" spans="1:27">
      <c r="A7" s="329" t="s">
        <v>814</v>
      </c>
      <c r="B7" s="329" t="s">
        <v>961</v>
      </c>
      <c r="C7" s="330" t="s">
        <v>962</v>
      </c>
      <c r="D7" s="330"/>
      <c r="E7" s="330"/>
      <c r="F7" s="330"/>
      <c r="G7" s="330"/>
      <c r="H7" s="330"/>
      <c r="I7" s="330"/>
      <c r="J7" s="330"/>
      <c r="K7" s="330"/>
      <c r="L7" s="330" t="s">
        <v>963</v>
      </c>
      <c r="M7" s="330"/>
      <c r="N7" s="330"/>
      <c r="O7" s="330"/>
      <c r="P7" s="330"/>
      <c r="Q7" s="330"/>
      <c r="R7" s="330"/>
      <c r="S7" s="330"/>
      <c r="T7" s="330"/>
      <c r="U7" s="330"/>
      <c r="V7" s="330"/>
      <c r="W7" s="330"/>
      <c r="X7" s="340" t="s">
        <v>964</v>
      </c>
      <c r="Y7" s="340"/>
      <c r="Z7" s="340"/>
      <c r="AA7" s="340"/>
    </row>
    <row r="8" spans="1:27">
      <c r="A8" s="331"/>
      <c r="B8" s="331"/>
      <c r="C8" s="332" t="s">
        <v>965</v>
      </c>
      <c r="D8" s="332" t="s">
        <v>966</v>
      </c>
      <c r="E8" s="332" t="s">
        <v>967</v>
      </c>
      <c r="F8" s="332" t="s">
        <v>968</v>
      </c>
      <c r="G8" s="332" t="s">
        <v>969</v>
      </c>
      <c r="H8" s="332" t="s">
        <v>970</v>
      </c>
      <c r="I8" s="332" t="s">
        <v>971</v>
      </c>
      <c r="J8" s="332" t="s">
        <v>972</v>
      </c>
      <c r="K8" s="332" t="s">
        <v>973</v>
      </c>
      <c r="L8" s="332" t="s">
        <v>974</v>
      </c>
      <c r="M8" s="332" t="s">
        <v>975</v>
      </c>
      <c r="N8" s="332" t="s">
        <v>976</v>
      </c>
      <c r="O8" s="332" t="s">
        <v>965</v>
      </c>
      <c r="P8" s="332" t="s">
        <v>966</v>
      </c>
      <c r="Q8" s="332" t="s">
        <v>967</v>
      </c>
      <c r="R8" s="332" t="s">
        <v>968</v>
      </c>
      <c r="S8" s="332" t="s">
        <v>969</v>
      </c>
      <c r="T8" s="332" t="s">
        <v>970</v>
      </c>
      <c r="U8" s="332" t="s">
        <v>971</v>
      </c>
      <c r="V8" s="332" t="s">
        <v>972</v>
      </c>
      <c r="W8" s="332" t="s">
        <v>973</v>
      </c>
      <c r="X8" s="332" t="s">
        <v>974</v>
      </c>
      <c r="Y8" s="332" t="s">
        <v>975</v>
      </c>
      <c r="Z8" s="332" t="s">
        <v>976</v>
      </c>
      <c r="AA8" s="332" t="s">
        <v>965</v>
      </c>
    </row>
    <row r="9" spans="1:27">
      <c r="A9" s="333" t="s">
        <v>977</v>
      </c>
      <c r="B9" s="333">
        <f>+SUM(C9:AC9)</f>
        <v>56678527.8620689</v>
      </c>
      <c r="C9" s="333">
        <v>875000</v>
      </c>
      <c r="D9" s="333">
        <v>875000</v>
      </c>
      <c r="E9" s="333">
        <v>875000</v>
      </c>
      <c r="F9" s="333">
        <v>3907870.2</v>
      </c>
      <c r="G9" s="333">
        <v>7582175.5</v>
      </c>
      <c r="H9" s="333">
        <v>16715219.2206896</v>
      </c>
      <c r="I9" s="333">
        <v>13682349.0206896</v>
      </c>
      <c r="J9" s="333">
        <v>12165913.9206896</v>
      </c>
      <c r="K9" s="333"/>
      <c r="L9" s="195"/>
      <c r="M9" s="195"/>
      <c r="N9" s="195"/>
      <c r="O9" s="195"/>
      <c r="P9" s="195"/>
      <c r="Q9" s="195"/>
      <c r="R9" s="333"/>
      <c r="S9" s="333"/>
      <c r="T9" s="333"/>
      <c r="U9" s="333"/>
      <c r="V9" s="333"/>
      <c r="W9" s="333"/>
      <c r="X9" s="333"/>
      <c r="Y9" s="333"/>
      <c r="Z9" s="333"/>
      <c r="AA9" s="333"/>
    </row>
    <row r="10" spans="1:27">
      <c r="A10" s="333" t="s">
        <v>496</v>
      </c>
      <c r="B10" s="333">
        <f>+SUM(C10:AC10)</f>
        <v>168584588.708</v>
      </c>
      <c r="C10" s="333"/>
      <c r="D10" s="333"/>
      <c r="E10" s="333"/>
      <c r="F10" s="333"/>
      <c r="G10" s="333"/>
      <c r="H10" s="333"/>
      <c r="I10" s="333"/>
      <c r="J10" s="333"/>
      <c r="K10" s="333"/>
      <c r="L10" s="195"/>
      <c r="M10" s="195"/>
      <c r="N10" s="195"/>
      <c r="O10" s="195"/>
      <c r="P10" s="195"/>
      <c r="Q10" s="195"/>
      <c r="R10" s="333"/>
      <c r="S10" s="341">
        <v>15785342.5223633</v>
      </c>
      <c r="T10" s="341">
        <v>13648968.148274</v>
      </c>
      <c r="U10" s="341">
        <v>14362564.2376201</v>
      </c>
      <c r="V10" s="341">
        <v>10116587.1698989</v>
      </c>
      <c r="W10" s="341">
        <v>13581545.1348561</v>
      </c>
      <c r="X10" s="341">
        <v>21000976.9526701</v>
      </c>
      <c r="Y10" s="341">
        <v>20856603.7041302</v>
      </c>
      <c r="Z10" s="341">
        <v>37251992.1097175</v>
      </c>
      <c r="AA10" s="341">
        <v>21980008.7284698</v>
      </c>
    </row>
    <row r="11" s="322" customFormat="1" spans="1:31">
      <c r="A11" s="333" t="s">
        <v>978</v>
      </c>
      <c r="B11" s="333">
        <f>+SUM(C11:AA11)</f>
        <v>659233453.949375</v>
      </c>
      <c r="C11" s="333"/>
      <c r="D11" s="333"/>
      <c r="E11" s="333"/>
      <c r="F11" s="333"/>
      <c r="G11" s="333"/>
      <c r="H11" s="333"/>
      <c r="I11" s="333">
        <v>2467564.959125</v>
      </c>
      <c r="J11" s="333">
        <v>2467564.959125</v>
      </c>
      <c r="K11" s="333">
        <v>2467564.959125</v>
      </c>
      <c r="L11" s="333">
        <v>7650545.03725</v>
      </c>
      <c r="M11" s="333">
        <v>91389456.815375</v>
      </c>
      <c r="N11" s="333">
        <v>96572436.8935</v>
      </c>
      <c r="O11" s="333">
        <v>96572436.8935</v>
      </c>
      <c r="P11" s="333">
        <v>69991292.9935</v>
      </c>
      <c r="Q11" s="333">
        <v>64808312.915375</v>
      </c>
      <c r="R11" s="333">
        <v>64808312.915375</v>
      </c>
      <c r="S11" s="333">
        <v>64808312.915375</v>
      </c>
      <c r="T11" s="333">
        <v>38227169.015375</v>
      </c>
      <c r="U11" s="333">
        <v>17228751.299125</v>
      </c>
      <c r="V11" s="333">
        <v>17228751.299125</v>
      </c>
      <c r="W11" s="333">
        <v>22544980.079125</v>
      </c>
      <c r="X11" s="333"/>
      <c r="Y11" s="333"/>
      <c r="Z11" s="333"/>
      <c r="AA11" s="333"/>
      <c r="AD11"/>
      <c r="AE11" s="342"/>
    </row>
    <row r="12" spans="1:27">
      <c r="A12" s="333" t="s">
        <v>979</v>
      </c>
      <c r="B12" s="333">
        <f>+SUM(C12:AC12)</f>
        <v>243664880.1895</v>
      </c>
      <c r="C12" s="333"/>
      <c r="D12" s="333"/>
      <c r="E12" s="333"/>
      <c r="F12" s="333"/>
      <c r="G12" s="333"/>
      <c r="H12" s="333"/>
      <c r="I12" s="333"/>
      <c r="J12" s="333"/>
      <c r="K12" s="195"/>
      <c r="L12" s="333">
        <v>54669828.0724375</v>
      </c>
      <c r="M12" s="333">
        <v>19000239.5124375</v>
      </c>
      <c r="N12" s="333">
        <v>20585294.1924375</v>
      </c>
      <c r="O12" s="333">
        <v>30696923.4824375</v>
      </c>
      <c r="P12" s="333">
        <v>44235232.4374375</v>
      </c>
      <c r="Q12" s="333">
        <v>43353348.2874375</v>
      </c>
      <c r="R12" s="333">
        <v>23422296.3524375</v>
      </c>
      <c r="S12" s="333">
        <v>7701717.8524375</v>
      </c>
      <c r="T12" s="333"/>
      <c r="U12" s="333"/>
      <c r="V12" s="333"/>
      <c r="W12" s="333"/>
      <c r="X12" s="333"/>
      <c r="Y12" s="333"/>
      <c r="Z12" s="333"/>
      <c r="AA12" s="333"/>
    </row>
    <row r="13" ht="15.75" spans="1:27">
      <c r="A13" s="334" t="s">
        <v>499</v>
      </c>
      <c r="B13" s="333">
        <f>+SUM(C13:AC13)</f>
        <v>92484000</v>
      </c>
      <c r="C13" s="333"/>
      <c r="D13" s="333"/>
      <c r="E13" s="333"/>
      <c r="F13" s="333"/>
      <c r="G13" s="333"/>
      <c r="H13" s="333"/>
      <c r="I13" s="195"/>
      <c r="J13" s="195"/>
      <c r="K13" s="195"/>
      <c r="L13" s="195"/>
      <c r="M13" s="195"/>
      <c r="N13" s="195"/>
      <c r="O13" s="195"/>
      <c r="P13" s="195"/>
      <c r="Q13" s="333"/>
      <c r="R13" s="333"/>
      <c r="S13" s="333"/>
      <c r="T13" s="333"/>
      <c r="U13" s="333"/>
      <c r="V13" s="333">
        <v>12805666.6666667</v>
      </c>
      <c r="W13" s="333">
        <v>12400666.6666667</v>
      </c>
      <c r="X13" s="333">
        <v>14231916.6666667</v>
      </c>
      <c r="Y13" s="333">
        <v>15898583.3333333</v>
      </c>
      <c r="Z13" s="333">
        <v>18523583.3333333</v>
      </c>
      <c r="AA13" s="333">
        <v>18623583.3333333</v>
      </c>
    </row>
    <row r="14" ht="15.75" spans="1:27">
      <c r="A14" s="335" t="s">
        <v>170</v>
      </c>
      <c r="B14" s="336">
        <f>+SUM(B9:B13)</f>
        <v>1220645450.70894</v>
      </c>
      <c r="C14" s="337">
        <f t="shared" ref="C14:D14" si="0">+SUM(C9:C13)</f>
        <v>875000</v>
      </c>
      <c r="D14" s="337">
        <f t="shared" si="0"/>
        <v>875000</v>
      </c>
      <c r="E14" s="337">
        <f t="shared" ref="E14" si="1">+SUM(E9:E13)</f>
        <v>875000</v>
      </c>
      <c r="F14" s="337">
        <f t="shared" ref="F14" si="2">+SUM(F9:F13)</f>
        <v>3907870.2</v>
      </c>
      <c r="G14" s="337">
        <f t="shared" ref="G14" si="3">+SUM(G9:G13)</f>
        <v>7582175.5</v>
      </c>
      <c r="H14" s="337">
        <f t="shared" ref="H14" si="4">+SUM(H9:H13)</f>
        <v>16715219.2206896</v>
      </c>
      <c r="I14" s="337">
        <f t="shared" ref="I14" si="5">+SUM(I9:I13)</f>
        <v>16149913.9798146</v>
      </c>
      <c r="J14" s="337">
        <f t="shared" ref="J14" si="6">+SUM(J9:J13)</f>
        <v>14633478.8798146</v>
      </c>
      <c r="K14" s="337">
        <f t="shared" ref="K14" si="7">+SUM(K9:K13)</f>
        <v>2467564.959125</v>
      </c>
      <c r="L14" s="337">
        <f t="shared" ref="L14" si="8">+SUM(L9:L13)</f>
        <v>62320373.1096875</v>
      </c>
      <c r="M14" s="337">
        <f t="shared" ref="M14" si="9">+SUM(M9:M13)</f>
        <v>110389696.327812</v>
      </c>
      <c r="N14" s="337">
        <f t="shared" ref="N14" si="10">+SUM(N9:N13)</f>
        <v>117157731.085937</v>
      </c>
      <c r="O14" s="337">
        <f t="shared" ref="O14" si="11">+SUM(O9:O13)</f>
        <v>127269360.375938</v>
      </c>
      <c r="P14" s="337">
        <f t="shared" ref="P14" si="12">+SUM(P9:P13)</f>
        <v>114226525.430937</v>
      </c>
      <c r="Q14" s="337">
        <f t="shared" ref="Q14" si="13">+SUM(Q9:Q13)</f>
        <v>108161661.202812</v>
      </c>
      <c r="R14" s="337">
        <f t="shared" ref="R14" si="14">+SUM(R9:R13)</f>
        <v>88230609.2678125</v>
      </c>
      <c r="S14" s="337">
        <f t="shared" ref="S14" si="15">+SUM(S9:S13)</f>
        <v>88295373.2901758</v>
      </c>
      <c r="T14" s="337">
        <f t="shared" ref="T14" si="16">+SUM(T9:T13)</f>
        <v>51876137.163649</v>
      </c>
      <c r="U14" s="337">
        <f t="shared" ref="U14" si="17">+SUM(U9:U13)</f>
        <v>31591315.5367451</v>
      </c>
      <c r="V14" s="337">
        <f t="shared" ref="V14:AA14" si="18">+SUM(V9:V13)</f>
        <v>40151005.1356906</v>
      </c>
      <c r="W14" s="337">
        <f t="shared" si="18"/>
        <v>48527191.8806477</v>
      </c>
      <c r="X14" s="337">
        <f t="shared" si="18"/>
        <v>35232893.6193368</v>
      </c>
      <c r="Y14" s="337">
        <f t="shared" si="18"/>
        <v>36755187.0374636</v>
      </c>
      <c r="Z14" s="337">
        <f t="shared" si="18"/>
        <v>55775575.4430508</v>
      </c>
      <c r="AA14" s="337">
        <f t="shared" si="18"/>
        <v>40603592.0618031</v>
      </c>
    </row>
    <row r="15" spans="1:1">
      <c r="A15" t="s">
        <v>187</v>
      </c>
    </row>
    <row r="16" spans="3:10">
      <c r="C16" s="323">
        <f>+C9/$B$9</f>
        <v>0.0154379450738271</v>
      </c>
      <c r="D16" s="323">
        <f t="shared" ref="D16:J16" si="19">+D9/$B$9</f>
        <v>0.0154379450738271</v>
      </c>
      <c r="E16" s="323">
        <f t="shared" si="19"/>
        <v>0.0154379450738271</v>
      </c>
      <c r="F16" s="323">
        <f t="shared" si="19"/>
        <v>0.0689479834322809</v>
      </c>
      <c r="G16" s="323">
        <f t="shared" si="19"/>
        <v>0.133775095896134</v>
      </c>
      <c r="H16" s="323">
        <f t="shared" si="19"/>
        <v>0.294912727115413</v>
      </c>
      <c r="I16" s="323">
        <f t="shared" si="19"/>
        <v>0.241402688756959</v>
      </c>
      <c r="J16" s="323">
        <f t="shared" si="19"/>
        <v>0.214647669577732</v>
      </c>
    </row>
    <row r="17" spans="1:1">
      <c r="A17" t="s">
        <v>980</v>
      </c>
    </row>
    <row r="18" spans="1:27">
      <c r="A18" s="332" t="s">
        <v>814</v>
      </c>
      <c r="B18" s="332" t="s">
        <v>47</v>
      </c>
      <c r="C18" s="332" t="s">
        <v>974</v>
      </c>
      <c r="D18" s="332" t="s">
        <v>975</v>
      </c>
      <c r="E18" s="332" t="s">
        <v>976</v>
      </c>
      <c r="F18" s="332" t="s">
        <v>965</v>
      </c>
      <c r="G18" s="332" t="s">
        <v>966</v>
      </c>
      <c r="H18" s="332" t="s">
        <v>967</v>
      </c>
      <c r="I18" s="332" t="s">
        <v>968</v>
      </c>
      <c r="J18" s="332" t="s">
        <v>969</v>
      </c>
      <c r="K18" s="332" t="s">
        <v>970</v>
      </c>
      <c r="L18" s="332" t="s">
        <v>971</v>
      </c>
      <c r="M18" s="332" t="s">
        <v>972</v>
      </c>
      <c r="N18" s="332" t="s">
        <v>973</v>
      </c>
      <c r="O18" s="332" t="s">
        <v>981</v>
      </c>
      <c r="P18" s="332" t="s">
        <v>982</v>
      </c>
      <c r="Q18" s="332" t="s">
        <v>983</v>
      </c>
      <c r="R18" s="332" t="s">
        <v>984</v>
      </c>
      <c r="S18" s="332" t="s">
        <v>985</v>
      </c>
      <c r="T18" s="332" t="s">
        <v>986</v>
      </c>
      <c r="U18" s="332" t="s">
        <v>987</v>
      </c>
      <c r="V18" s="332" t="s">
        <v>988</v>
      </c>
      <c r="W18" s="332" t="s">
        <v>989</v>
      </c>
      <c r="X18" s="332" t="s">
        <v>990</v>
      </c>
      <c r="Y18" s="332" t="s">
        <v>991</v>
      </c>
      <c r="Z18" s="332" t="s">
        <v>992</v>
      </c>
      <c r="AA18" s="332" t="s">
        <v>993</v>
      </c>
    </row>
    <row r="19" spans="1:27">
      <c r="A19" s="333" t="s">
        <v>977</v>
      </c>
      <c r="B19" s="256">
        <v>1</v>
      </c>
      <c r="C19" s="338">
        <f>+C9/$B9</f>
        <v>0.0154379450738271</v>
      </c>
      <c r="D19" s="338">
        <f>+D9/$B9</f>
        <v>0.0154379450738271</v>
      </c>
      <c r="E19" s="338">
        <f t="shared" ref="E19:AA19" si="20">+E9/$B9</f>
        <v>0.0154379450738271</v>
      </c>
      <c r="F19" s="338">
        <f t="shared" si="20"/>
        <v>0.0689479834322809</v>
      </c>
      <c r="G19" s="338">
        <f t="shared" si="20"/>
        <v>0.133775095896134</v>
      </c>
      <c r="H19" s="338">
        <f t="shared" si="20"/>
        <v>0.294912727115413</v>
      </c>
      <c r="I19" s="338">
        <f t="shared" si="20"/>
        <v>0.241402688756959</v>
      </c>
      <c r="J19" s="338">
        <f t="shared" si="20"/>
        <v>0.214647669577732</v>
      </c>
      <c r="K19" s="256">
        <f t="shared" si="20"/>
        <v>0</v>
      </c>
      <c r="L19" s="256">
        <f t="shared" si="20"/>
        <v>0</v>
      </c>
      <c r="M19" s="256">
        <f t="shared" si="20"/>
        <v>0</v>
      </c>
      <c r="N19" s="256">
        <f t="shared" si="20"/>
        <v>0</v>
      </c>
      <c r="O19" s="256">
        <f t="shared" si="20"/>
        <v>0</v>
      </c>
      <c r="P19" s="256">
        <f t="shared" si="20"/>
        <v>0</v>
      </c>
      <c r="Q19" s="256">
        <f t="shared" si="20"/>
        <v>0</v>
      </c>
      <c r="R19" s="256">
        <f t="shared" si="20"/>
        <v>0</v>
      </c>
      <c r="S19" s="256">
        <f t="shared" si="20"/>
        <v>0</v>
      </c>
      <c r="T19" s="256">
        <f t="shared" si="20"/>
        <v>0</v>
      </c>
      <c r="U19" s="256">
        <f t="shared" si="20"/>
        <v>0</v>
      </c>
      <c r="V19" s="256">
        <f t="shared" si="20"/>
        <v>0</v>
      </c>
      <c r="W19" s="256">
        <f t="shared" si="20"/>
        <v>0</v>
      </c>
      <c r="X19" s="256">
        <f t="shared" si="20"/>
        <v>0</v>
      </c>
      <c r="Y19" s="256">
        <f t="shared" si="20"/>
        <v>0</v>
      </c>
      <c r="Z19" s="256">
        <f t="shared" si="20"/>
        <v>0</v>
      </c>
      <c r="AA19" s="256">
        <f t="shared" si="20"/>
        <v>0</v>
      </c>
    </row>
    <row r="20" s="323" customFormat="1" spans="1:30">
      <c r="A20" s="333" t="s">
        <v>496</v>
      </c>
      <c r="B20" s="256">
        <v>1</v>
      </c>
      <c r="C20" s="256">
        <f t="shared" ref="C20:D23" si="21">+C10/$B10</f>
        <v>0</v>
      </c>
      <c r="D20" s="256">
        <f t="shared" si="21"/>
        <v>0</v>
      </c>
      <c r="E20" s="256">
        <f t="shared" ref="E20:AA20" si="22">+E10/$B10</f>
        <v>0</v>
      </c>
      <c r="F20" s="256">
        <f t="shared" si="22"/>
        <v>0</v>
      </c>
      <c r="G20" s="256">
        <f t="shared" si="22"/>
        <v>0</v>
      </c>
      <c r="H20" s="256">
        <f t="shared" si="22"/>
        <v>0</v>
      </c>
      <c r="I20" s="256">
        <f t="shared" si="22"/>
        <v>0</v>
      </c>
      <c r="J20" s="256">
        <f t="shared" si="22"/>
        <v>0</v>
      </c>
      <c r="K20" s="256">
        <f t="shared" si="22"/>
        <v>0</v>
      </c>
      <c r="L20" s="256">
        <f t="shared" si="22"/>
        <v>0</v>
      </c>
      <c r="M20" s="256">
        <f t="shared" si="22"/>
        <v>0</v>
      </c>
      <c r="N20" s="256">
        <f t="shared" si="22"/>
        <v>0</v>
      </c>
      <c r="O20" s="256">
        <f t="shared" si="22"/>
        <v>0</v>
      </c>
      <c r="P20" s="256">
        <f t="shared" si="22"/>
        <v>0</v>
      </c>
      <c r="Q20" s="256">
        <f t="shared" si="22"/>
        <v>0</v>
      </c>
      <c r="R20" s="256">
        <f t="shared" si="22"/>
        <v>0</v>
      </c>
      <c r="S20" s="338">
        <f t="shared" si="22"/>
        <v>0.0936345525017391</v>
      </c>
      <c r="T20" s="338">
        <f t="shared" si="22"/>
        <v>0.0809621345158363</v>
      </c>
      <c r="U20" s="338">
        <f t="shared" si="22"/>
        <v>0.0851950012020199</v>
      </c>
      <c r="V20" s="338">
        <f t="shared" si="22"/>
        <v>0.0600089678862732</v>
      </c>
      <c r="W20" s="338">
        <f t="shared" si="22"/>
        <v>0.0805621987095168</v>
      </c>
      <c r="X20" s="338">
        <f t="shared" si="22"/>
        <v>0.124572341479239</v>
      </c>
      <c r="Y20" s="338">
        <f t="shared" si="22"/>
        <v>0.123715956861604</v>
      </c>
      <c r="Z20" s="338">
        <f t="shared" si="22"/>
        <v>0.220969143118061</v>
      </c>
      <c r="AA20" s="338">
        <f t="shared" si="22"/>
        <v>0.13037970372571</v>
      </c>
      <c r="AB20"/>
      <c r="AC20"/>
      <c r="AD20"/>
    </row>
    <row r="21" s="323" customFormat="1" spans="1:30">
      <c r="A21" s="333" t="s">
        <v>978</v>
      </c>
      <c r="B21" s="256">
        <v>1</v>
      </c>
      <c r="C21" s="256">
        <f t="shared" si="21"/>
        <v>0</v>
      </c>
      <c r="D21" s="256">
        <f t="shared" si="21"/>
        <v>0</v>
      </c>
      <c r="E21" s="256">
        <f t="shared" ref="E21:F21" si="23">+E11/$B11</f>
        <v>0</v>
      </c>
      <c r="F21" s="256">
        <f t="shared" si="23"/>
        <v>0</v>
      </c>
      <c r="G21" s="256">
        <f>+G11/$B$11</f>
        <v>0</v>
      </c>
      <c r="H21" s="256">
        <f t="shared" ref="H21" si="24">+H11/$B$11</f>
        <v>0</v>
      </c>
      <c r="I21" s="338">
        <f t="shared" ref="I21:N21" si="25">+R11/$B$11</f>
        <v>0.0983085923918416</v>
      </c>
      <c r="J21" s="338">
        <f t="shared" si="25"/>
        <v>0.0983085923918416</v>
      </c>
      <c r="K21" s="338">
        <f t="shared" si="25"/>
        <v>0.0579873014428522</v>
      </c>
      <c r="L21" s="338">
        <f t="shared" si="25"/>
        <v>0.0261345221422092</v>
      </c>
      <c r="M21" s="338">
        <f t="shared" si="25"/>
        <v>0.0261345221422092</v>
      </c>
      <c r="N21" s="338">
        <f t="shared" si="25"/>
        <v>0.0341987803320071</v>
      </c>
      <c r="O21" s="339">
        <f t="shared" ref="O21:W21" si="26">+I11/$B$11</f>
        <v>0.00374308212719207</v>
      </c>
      <c r="P21" s="339">
        <f t="shared" si="26"/>
        <v>0.00374308212719207</v>
      </c>
      <c r="Q21" s="339">
        <f t="shared" si="26"/>
        <v>0.00374308212719207</v>
      </c>
      <c r="R21" s="338">
        <f t="shared" si="26"/>
        <v>0.0116052135877156</v>
      </c>
      <c r="S21" s="338">
        <f t="shared" si="26"/>
        <v>0.138629883340831</v>
      </c>
      <c r="T21" s="338">
        <f t="shared" si="26"/>
        <v>0.146492014801355</v>
      </c>
      <c r="U21" s="338">
        <f t="shared" si="26"/>
        <v>0.146492014801355</v>
      </c>
      <c r="V21" s="338">
        <f t="shared" si="26"/>
        <v>0.106170723852365</v>
      </c>
      <c r="W21" s="338">
        <f t="shared" si="26"/>
        <v>0.0983085923918416</v>
      </c>
      <c r="X21" s="256">
        <f>+X11/$B$11</f>
        <v>0</v>
      </c>
      <c r="Y21" s="256">
        <f t="shared" ref="Y21:AA21" si="27">+Y11/$B$11</f>
        <v>0</v>
      </c>
      <c r="Z21" s="256">
        <f t="shared" si="27"/>
        <v>0</v>
      </c>
      <c r="AA21" s="256">
        <f t="shared" si="27"/>
        <v>0</v>
      </c>
      <c r="AB21"/>
      <c r="AC21"/>
      <c r="AD21"/>
    </row>
    <row r="22" spans="1:27">
      <c r="A22" s="333" t="s">
        <v>979</v>
      </c>
      <c r="B22" s="256">
        <f>+B12/$B$12</f>
        <v>1</v>
      </c>
      <c r="C22" s="256">
        <f t="shared" si="21"/>
        <v>0</v>
      </c>
      <c r="D22" s="256">
        <f t="shared" si="21"/>
        <v>0</v>
      </c>
      <c r="E22" s="256">
        <f t="shared" ref="E22:AA22" si="28">+E12/$B12</f>
        <v>0</v>
      </c>
      <c r="F22" s="256">
        <f t="shared" si="28"/>
        <v>0</v>
      </c>
      <c r="G22" s="256">
        <f t="shared" si="28"/>
        <v>0</v>
      </c>
      <c r="H22" s="256">
        <f t="shared" si="28"/>
        <v>0</v>
      </c>
      <c r="I22" s="256">
        <f t="shared" si="28"/>
        <v>0</v>
      </c>
      <c r="J22" s="256">
        <f t="shared" si="28"/>
        <v>0</v>
      </c>
      <c r="K22" s="256">
        <f t="shared" si="28"/>
        <v>0</v>
      </c>
      <c r="L22" s="338">
        <f t="shared" si="28"/>
        <v>0.224364824466786</v>
      </c>
      <c r="M22" s="338">
        <f t="shared" si="28"/>
        <v>0.0779769308472393</v>
      </c>
      <c r="N22" s="338">
        <f t="shared" si="28"/>
        <v>0.0844819909066426</v>
      </c>
      <c r="O22" s="338">
        <f t="shared" si="28"/>
        <v>0.125980089779718</v>
      </c>
      <c r="P22" s="338">
        <f t="shared" si="28"/>
        <v>0.181541272599627</v>
      </c>
      <c r="Q22" s="338">
        <f t="shared" si="28"/>
        <v>0.177922022466764</v>
      </c>
      <c r="R22" s="338">
        <f t="shared" si="28"/>
        <v>0.0961250399902596</v>
      </c>
      <c r="S22" s="338">
        <f t="shared" si="28"/>
        <v>0.0316078289429639</v>
      </c>
      <c r="T22" s="256">
        <f t="shared" si="28"/>
        <v>0</v>
      </c>
      <c r="U22" s="256">
        <f t="shared" si="28"/>
        <v>0</v>
      </c>
      <c r="V22" s="256">
        <f t="shared" si="28"/>
        <v>0</v>
      </c>
      <c r="W22" s="256">
        <f t="shared" si="28"/>
        <v>0</v>
      </c>
      <c r="X22" s="256">
        <f t="shared" si="28"/>
        <v>0</v>
      </c>
      <c r="Y22" s="256">
        <f t="shared" si="28"/>
        <v>0</v>
      </c>
      <c r="Z22" s="256">
        <f t="shared" si="28"/>
        <v>0</v>
      </c>
      <c r="AA22" s="256">
        <f t="shared" si="28"/>
        <v>0</v>
      </c>
    </row>
    <row r="23" spans="1:27">
      <c r="A23" s="333" t="s">
        <v>499</v>
      </c>
      <c r="B23" s="256">
        <f>+B13/$B$13</f>
        <v>1</v>
      </c>
      <c r="C23" s="256">
        <f t="shared" si="21"/>
        <v>0</v>
      </c>
      <c r="D23" s="256">
        <f t="shared" si="21"/>
        <v>0</v>
      </c>
      <c r="E23" s="256">
        <f t="shared" ref="E23:I23" si="29">+E13/$B13</f>
        <v>0</v>
      </c>
      <c r="F23" s="256">
        <f t="shared" si="29"/>
        <v>0</v>
      </c>
      <c r="G23" s="256">
        <f t="shared" si="29"/>
        <v>0</v>
      </c>
      <c r="H23" s="256">
        <f t="shared" si="29"/>
        <v>0</v>
      </c>
      <c r="I23" s="256">
        <f t="shared" si="29"/>
        <v>0</v>
      </c>
      <c r="J23" s="256">
        <f>+J13/$B$13</f>
        <v>0</v>
      </c>
      <c r="K23" s="256">
        <f t="shared" ref="K23:AA23" si="30">+K13/$B$13</f>
        <v>0</v>
      </c>
      <c r="L23" s="256">
        <f t="shared" si="30"/>
        <v>0</v>
      </c>
      <c r="M23" s="256">
        <f t="shared" si="30"/>
        <v>0</v>
      </c>
      <c r="N23" s="256">
        <f t="shared" si="30"/>
        <v>0</v>
      </c>
      <c r="O23" s="256">
        <f t="shared" si="30"/>
        <v>0</v>
      </c>
      <c r="P23" s="256">
        <f t="shared" si="30"/>
        <v>0</v>
      </c>
      <c r="Q23" s="256">
        <f t="shared" si="30"/>
        <v>0</v>
      </c>
      <c r="R23" s="256">
        <f t="shared" si="30"/>
        <v>0</v>
      </c>
      <c r="S23" s="256">
        <f t="shared" si="30"/>
        <v>0</v>
      </c>
      <c r="T23" s="256">
        <f t="shared" si="30"/>
        <v>0</v>
      </c>
      <c r="U23" s="256">
        <f t="shared" si="30"/>
        <v>0</v>
      </c>
      <c r="V23" s="338">
        <f t="shared" si="30"/>
        <v>0.138463590098467</v>
      </c>
      <c r="W23" s="338">
        <f t="shared" si="30"/>
        <v>0.134084454247942</v>
      </c>
      <c r="X23" s="338">
        <f t="shared" si="30"/>
        <v>0.15388517653504</v>
      </c>
      <c r="Y23" s="338">
        <f t="shared" si="30"/>
        <v>0.171906311722388</v>
      </c>
      <c r="Z23" s="338">
        <f t="shared" si="30"/>
        <v>0.200289599642461</v>
      </c>
      <c r="AA23" s="338">
        <f t="shared" si="30"/>
        <v>0.201370867753702</v>
      </c>
    </row>
    <row r="24" spans="1:1">
      <c r="A24" t="s">
        <v>187</v>
      </c>
    </row>
  </sheetData>
  <mergeCells count="1029">
    <mergeCell ref="A2:P2"/>
    <mergeCell ref="Q2:AF2"/>
    <mergeCell ref="AG2:AV2"/>
    <mergeCell ref="AW2:BL2"/>
    <mergeCell ref="BM2:CB2"/>
    <mergeCell ref="CC2:CR2"/>
    <mergeCell ref="CS2:DH2"/>
    <mergeCell ref="DI2:DX2"/>
    <mergeCell ref="DY2:EN2"/>
    <mergeCell ref="EO2:FD2"/>
    <mergeCell ref="FE2:FT2"/>
    <mergeCell ref="FU2:GJ2"/>
    <mergeCell ref="GK2:GZ2"/>
    <mergeCell ref="HA2:HP2"/>
    <mergeCell ref="HQ2:IF2"/>
    <mergeCell ref="IG2:IV2"/>
    <mergeCell ref="IW2:JL2"/>
    <mergeCell ref="JM2:KB2"/>
    <mergeCell ref="KC2:KR2"/>
    <mergeCell ref="KS2:LH2"/>
    <mergeCell ref="LI2:LX2"/>
    <mergeCell ref="LY2:MN2"/>
    <mergeCell ref="MO2:ND2"/>
    <mergeCell ref="NE2:NT2"/>
    <mergeCell ref="NU2:OJ2"/>
    <mergeCell ref="OK2:OZ2"/>
    <mergeCell ref="PA2:PP2"/>
    <mergeCell ref="PQ2:QF2"/>
    <mergeCell ref="QG2:QV2"/>
    <mergeCell ref="QW2:RL2"/>
    <mergeCell ref="RM2:SB2"/>
    <mergeCell ref="SC2:SR2"/>
    <mergeCell ref="SS2:TH2"/>
    <mergeCell ref="TI2:TX2"/>
    <mergeCell ref="TY2:UN2"/>
    <mergeCell ref="UO2:VD2"/>
    <mergeCell ref="VE2:VT2"/>
    <mergeCell ref="VU2:WJ2"/>
    <mergeCell ref="WK2:WZ2"/>
    <mergeCell ref="XA2:XP2"/>
    <mergeCell ref="XQ2:YF2"/>
    <mergeCell ref="YG2:YV2"/>
    <mergeCell ref="YW2:ZL2"/>
    <mergeCell ref="ZM2:AAB2"/>
    <mergeCell ref="AAC2:AAR2"/>
    <mergeCell ref="AAS2:ABH2"/>
    <mergeCell ref="ABI2:ABX2"/>
    <mergeCell ref="ABY2:ACN2"/>
    <mergeCell ref="ACO2:ADD2"/>
    <mergeCell ref="ADE2:ADT2"/>
    <mergeCell ref="ADU2:AEJ2"/>
    <mergeCell ref="AEK2:AEZ2"/>
    <mergeCell ref="AFA2:AFP2"/>
    <mergeCell ref="AFQ2:AGF2"/>
    <mergeCell ref="AGG2:AGV2"/>
    <mergeCell ref="AGW2:AHL2"/>
    <mergeCell ref="AHM2:AIB2"/>
    <mergeCell ref="AIC2:AIR2"/>
    <mergeCell ref="AIS2:AJH2"/>
    <mergeCell ref="AJI2:AJX2"/>
    <mergeCell ref="AJY2:AKN2"/>
    <mergeCell ref="AKO2:ALD2"/>
    <mergeCell ref="ALE2:ALT2"/>
    <mergeCell ref="ALU2:AMJ2"/>
    <mergeCell ref="AMK2:AMZ2"/>
    <mergeCell ref="ANA2:ANP2"/>
    <mergeCell ref="ANQ2:AOF2"/>
    <mergeCell ref="AOG2:AOV2"/>
    <mergeCell ref="AOW2:APL2"/>
    <mergeCell ref="APM2:AQB2"/>
    <mergeCell ref="AQC2:AQR2"/>
    <mergeCell ref="AQS2:ARH2"/>
    <mergeCell ref="ARI2:ARX2"/>
    <mergeCell ref="ARY2:ASN2"/>
    <mergeCell ref="ASO2:ATD2"/>
    <mergeCell ref="ATE2:ATT2"/>
    <mergeCell ref="ATU2:AUJ2"/>
    <mergeCell ref="AUK2:AUZ2"/>
    <mergeCell ref="AVA2:AVP2"/>
    <mergeCell ref="AVQ2:AWF2"/>
    <mergeCell ref="AWG2:AWV2"/>
    <mergeCell ref="AWW2:AXL2"/>
    <mergeCell ref="AXM2:AYB2"/>
    <mergeCell ref="AYC2:AYR2"/>
    <mergeCell ref="AYS2:AZH2"/>
    <mergeCell ref="AZI2:AZX2"/>
    <mergeCell ref="AZY2:BAN2"/>
    <mergeCell ref="BAO2:BBD2"/>
    <mergeCell ref="BBE2:BBT2"/>
    <mergeCell ref="BBU2:BCJ2"/>
    <mergeCell ref="BCK2:BCZ2"/>
    <mergeCell ref="BDA2:BDP2"/>
    <mergeCell ref="BDQ2:BEF2"/>
    <mergeCell ref="BEG2:BEV2"/>
    <mergeCell ref="BEW2:BFL2"/>
    <mergeCell ref="BFM2:BGB2"/>
    <mergeCell ref="BGC2:BGR2"/>
    <mergeCell ref="BGS2:BHH2"/>
    <mergeCell ref="BHI2:BHX2"/>
    <mergeCell ref="BHY2:BIN2"/>
    <mergeCell ref="BIO2:BJD2"/>
    <mergeCell ref="BJE2:BJT2"/>
    <mergeCell ref="BJU2:BKJ2"/>
    <mergeCell ref="BKK2:BKZ2"/>
    <mergeCell ref="BLA2:BLP2"/>
    <mergeCell ref="BLQ2:BMF2"/>
    <mergeCell ref="BMG2:BMV2"/>
    <mergeCell ref="BMW2:BNL2"/>
    <mergeCell ref="BNM2:BOB2"/>
    <mergeCell ref="BOC2:BOR2"/>
    <mergeCell ref="BOS2:BPH2"/>
    <mergeCell ref="BPI2:BPX2"/>
    <mergeCell ref="BPY2:BQN2"/>
    <mergeCell ref="BQO2:BRD2"/>
    <mergeCell ref="BRE2:BRT2"/>
    <mergeCell ref="BRU2:BSJ2"/>
    <mergeCell ref="BSK2:BSZ2"/>
    <mergeCell ref="BTA2:BTP2"/>
    <mergeCell ref="BTQ2:BUF2"/>
    <mergeCell ref="BUG2:BUV2"/>
    <mergeCell ref="BUW2:BVL2"/>
    <mergeCell ref="BVM2:BWB2"/>
    <mergeCell ref="BWC2:BWR2"/>
    <mergeCell ref="BWS2:BXH2"/>
    <mergeCell ref="BXI2:BXX2"/>
    <mergeCell ref="BXY2:BYN2"/>
    <mergeCell ref="BYO2:BZD2"/>
    <mergeCell ref="BZE2:BZT2"/>
    <mergeCell ref="BZU2:CAJ2"/>
    <mergeCell ref="CAK2:CAZ2"/>
    <mergeCell ref="CBA2:CBP2"/>
    <mergeCell ref="CBQ2:CCF2"/>
    <mergeCell ref="CCG2:CCV2"/>
    <mergeCell ref="CCW2:CDL2"/>
    <mergeCell ref="CDM2:CEB2"/>
    <mergeCell ref="CEC2:CER2"/>
    <mergeCell ref="CES2:CFH2"/>
    <mergeCell ref="CFI2:CFX2"/>
    <mergeCell ref="CFY2:CGN2"/>
    <mergeCell ref="CGO2:CHD2"/>
    <mergeCell ref="CHE2:CHT2"/>
    <mergeCell ref="CHU2:CIJ2"/>
    <mergeCell ref="CIK2:CIZ2"/>
    <mergeCell ref="CJA2:CJP2"/>
    <mergeCell ref="CJQ2:CKF2"/>
    <mergeCell ref="CKG2:CKV2"/>
    <mergeCell ref="CKW2:CLL2"/>
    <mergeCell ref="CLM2:CMB2"/>
    <mergeCell ref="CMC2:CMR2"/>
    <mergeCell ref="CMS2:CNH2"/>
    <mergeCell ref="CNI2:CNX2"/>
    <mergeCell ref="CNY2:CON2"/>
    <mergeCell ref="COO2:CPD2"/>
    <mergeCell ref="CPE2:CPT2"/>
    <mergeCell ref="CPU2:CQJ2"/>
    <mergeCell ref="CQK2:CQZ2"/>
    <mergeCell ref="CRA2:CRP2"/>
    <mergeCell ref="CRQ2:CSF2"/>
    <mergeCell ref="CSG2:CSV2"/>
    <mergeCell ref="CSW2:CTL2"/>
    <mergeCell ref="CTM2:CUB2"/>
    <mergeCell ref="CUC2:CUR2"/>
    <mergeCell ref="CUS2:CVH2"/>
    <mergeCell ref="CVI2:CVX2"/>
    <mergeCell ref="CVY2:CWN2"/>
    <mergeCell ref="CWO2:CXD2"/>
    <mergeCell ref="CXE2:CXT2"/>
    <mergeCell ref="CXU2:CYJ2"/>
    <mergeCell ref="CYK2:CYZ2"/>
    <mergeCell ref="CZA2:CZP2"/>
    <mergeCell ref="CZQ2:DAF2"/>
    <mergeCell ref="DAG2:DAV2"/>
    <mergeCell ref="DAW2:DBL2"/>
    <mergeCell ref="DBM2:DCB2"/>
    <mergeCell ref="DCC2:DCR2"/>
    <mergeCell ref="DCS2:DDH2"/>
    <mergeCell ref="DDI2:DDX2"/>
    <mergeCell ref="DDY2:DEN2"/>
    <mergeCell ref="DEO2:DFD2"/>
    <mergeCell ref="DFE2:DFT2"/>
    <mergeCell ref="DFU2:DGJ2"/>
    <mergeCell ref="DGK2:DGZ2"/>
    <mergeCell ref="DHA2:DHP2"/>
    <mergeCell ref="DHQ2:DIF2"/>
    <mergeCell ref="DIG2:DIV2"/>
    <mergeCell ref="DIW2:DJL2"/>
    <mergeCell ref="DJM2:DKB2"/>
    <mergeCell ref="DKC2:DKR2"/>
    <mergeCell ref="DKS2:DLH2"/>
    <mergeCell ref="DLI2:DLX2"/>
    <mergeCell ref="DLY2:DMN2"/>
    <mergeCell ref="DMO2:DND2"/>
    <mergeCell ref="DNE2:DNT2"/>
    <mergeCell ref="DNU2:DOJ2"/>
    <mergeCell ref="DOK2:DOZ2"/>
    <mergeCell ref="DPA2:DPP2"/>
    <mergeCell ref="DPQ2:DQF2"/>
    <mergeCell ref="DQG2:DQV2"/>
    <mergeCell ref="DQW2:DRL2"/>
    <mergeCell ref="DRM2:DSB2"/>
    <mergeCell ref="DSC2:DSR2"/>
    <mergeCell ref="DSS2:DTH2"/>
    <mergeCell ref="DTI2:DTX2"/>
    <mergeCell ref="DTY2:DUN2"/>
    <mergeCell ref="DUO2:DVD2"/>
    <mergeCell ref="DVE2:DVT2"/>
    <mergeCell ref="DVU2:DWJ2"/>
    <mergeCell ref="DWK2:DWZ2"/>
    <mergeCell ref="DXA2:DXP2"/>
    <mergeCell ref="DXQ2:DYF2"/>
    <mergeCell ref="DYG2:DYV2"/>
    <mergeCell ref="DYW2:DZL2"/>
    <mergeCell ref="DZM2:EAB2"/>
    <mergeCell ref="EAC2:EAR2"/>
    <mergeCell ref="EAS2:EBH2"/>
    <mergeCell ref="EBI2:EBX2"/>
    <mergeCell ref="EBY2:ECN2"/>
    <mergeCell ref="ECO2:EDD2"/>
    <mergeCell ref="EDE2:EDT2"/>
    <mergeCell ref="EDU2:EEJ2"/>
    <mergeCell ref="EEK2:EEZ2"/>
    <mergeCell ref="EFA2:EFP2"/>
    <mergeCell ref="EFQ2:EGF2"/>
    <mergeCell ref="EGG2:EGV2"/>
    <mergeCell ref="EGW2:EHL2"/>
    <mergeCell ref="EHM2:EIB2"/>
    <mergeCell ref="EIC2:EIR2"/>
    <mergeCell ref="EIS2:EJH2"/>
    <mergeCell ref="EJI2:EJX2"/>
    <mergeCell ref="EJY2:EKN2"/>
    <mergeCell ref="EKO2:ELD2"/>
    <mergeCell ref="ELE2:ELT2"/>
    <mergeCell ref="ELU2:EMJ2"/>
    <mergeCell ref="EMK2:EMZ2"/>
    <mergeCell ref="ENA2:ENP2"/>
    <mergeCell ref="ENQ2:EOF2"/>
    <mergeCell ref="EOG2:EOV2"/>
    <mergeCell ref="EOW2:EPL2"/>
    <mergeCell ref="EPM2:EQB2"/>
    <mergeCell ref="EQC2:EQR2"/>
    <mergeCell ref="EQS2:ERH2"/>
    <mergeCell ref="ERI2:ERX2"/>
    <mergeCell ref="ERY2:ESN2"/>
    <mergeCell ref="ESO2:ETD2"/>
    <mergeCell ref="ETE2:ETT2"/>
    <mergeCell ref="ETU2:EUJ2"/>
    <mergeCell ref="EUK2:EUZ2"/>
    <mergeCell ref="EVA2:EVP2"/>
    <mergeCell ref="EVQ2:EWF2"/>
    <mergeCell ref="EWG2:EWV2"/>
    <mergeCell ref="EWW2:EXL2"/>
    <mergeCell ref="EXM2:EYB2"/>
    <mergeCell ref="EYC2:EYR2"/>
    <mergeCell ref="EYS2:EZH2"/>
    <mergeCell ref="EZI2:EZX2"/>
    <mergeCell ref="EZY2:FAN2"/>
    <mergeCell ref="FAO2:FBD2"/>
    <mergeCell ref="FBE2:FBT2"/>
    <mergeCell ref="FBU2:FCJ2"/>
    <mergeCell ref="FCK2:FCZ2"/>
    <mergeCell ref="FDA2:FDP2"/>
    <mergeCell ref="FDQ2:FEF2"/>
    <mergeCell ref="FEG2:FEV2"/>
    <mergeCell ref="FEW2:FFL2"/>
    <mergeCell ref="FFM2:FGB2"/>
    <mergeCell ref="FGC2:FGR2"/>
    <mergeCell ref="FGS2:FHH2"/>
    <mergeCell ref="FHI2:FHX2"/>
    <mergeCell ref="FHY2:FIN2"/>
    <mergeCell ref="FIO2:FJD2"/>
    <mergeCell ref="FJE2:FJT2"/>
    <mergeCell ref="FJU2:FKJ2"/>
    <mergeCell ref="FKK2:FKZ2"/>
    <mergeCell ref="FLA2:FLP2"/>
    <mergeCell ref="FLQ2:FMF2"/>
    <mergeCell ref="FMG2:FMV2"/>
    <mergeCell ref="FMW2:FNL2"/>
    <mergeCell ref="FNM2:FOB2"/>
    <mergeCell ref="FOC2:FOR2"/>
    <mergeCell ref="FOS2:FPH2"/>
    <mergeCell ref="FPI2:FPX2"/>
    <mergeCell ref="FPY2:FQN2"/>
    <mergeCell ref="FQO2:FRD2"/>
    <mergeCell ref="FRE2:FRT2"/>
    <mergeCell ref="FRU2:FSJ2"/>
    <mergeCell ref="FSK2:FSZ2"/>
    <mergeCell ref="FTA2:FTP2"/>
    <mergeCell ref="FTQ2:FUF2"/>
    <mergeCell ref="FUG2:FUV2"/>
    <mergeCell ref="FUW2:FVL2"/>
    <mergeCell ref="FVM2:FWB2"/>
    <mergeCell ref="FWC2:FWR2"/>
    <mergeCell ref="FWS2:FXH2"/>
    <mergeCell ref="FXI2:FXX2"/>
    <mergeCell ref="FXY2:FYN2"/>
    <mergeCell ref="FYO2:FZD2"/>
    <mergeCell ref="FZE2:FZT2"/>
    <mergeCell ref="FZU2:GAJ2"/>
    <mergeCell ref="GAK2:GAZ2"/>
    <mergeCell ref="GBA2:GBP2"/>
    <mergeCell ref="GBQ2:GCF2"/>
    <mergeCell ref="GCG2:GCV2"/>
    <mergeCell ref="GCW2:GDL2"/>
    <mergeCell ref="GDM2:GEB2"/>
    <mergeCell ref="GEC2:GER2"/>
    <mergeCell ref="GES2:GFH2"/>
    <mergeCell ref="GFI2:GFX2"/>
    <mergeCell ref="GFY2:GGN2"/>
    <mergeCell ref="GGO2:GHD2"/>
    <mergeCell ref="GHE2:GHT2"/>
    <mergeCell ref="GHU2:GIJ2"/>
    <mergeCell ref="GIK2:GIZ2"/>
    <mergeCell ref="GJA2:GJP2"/>
    <mergeCell ref="GJQ2:GKF2"/>
    <mergeCell ref="GKG2:GKV2"/>
    <mergeCell ref="GKW2:GLL2"/>
    <mergeCell ref="GLM2:GMB2"/>
    <mergeCell ref="GMC2:GMR2"/>
    <mergeCell ref="GMS2:GNH2"/>
    <mergeCell ref="GNI2:GNX2"/>
    <mergeCell ref="GNY2:GON2"/>
    <mergeCell ref="GOO2:GPD2"/>
    <mergeCell ref="GPE2:GPT2"/>
    <mergeCell ref="GPU2:GQJ2"/>
    <mergeCell ref="GQK2:GQZ2"/>
    <mergeCell ref="GRA2:GRP2"/>
    <mergeCell ref="GRQ2:GSF2"/>
    <mergeCell ref="GSG2:GSV2"/>
    <mergeCell ref="GSW2:GTL2"/>
    <mergeCell ref="GTM2:GUB2"/>
    <mergeCell ref="GUC2:GUR2"/>
    <mergeCell ref="GUS2:GVH2"/>
    <mergeCell ref="GVI2:GVX2"/>
    <mergeCell ref="GVY2:GWN2"/>
    <mergeCell ref="GWO2:GXD2"/>
    <mergeCell ref="GXE2:GXT2"/>
    <mergeCell ref="GXU2:GYJ2"/>
    <mergeCell ref="GYK2:GYZ2"/>
    <mergeCell ref="GZA2:GZP2"/>
    <mergeCell ref="GZQ2:HAF2"/>
    <mergeCell ref="HAG2:HAV2"/>
    <mergeCell ref="HAW2:HBL2"/>
    <mergeCell ref="HBM2:HCB2"/>
    <mergeCell ref="HCC2:HCR2"/>
    <mergeCell ref="HCS2:HDH2"/>
    <mergeCell ref="HDI2:HDX2"/>
    <mergeCell ref="HDY2:HEN2"/>
    <mergeCell ref="HEO2:HFD2"/>
    <mergeCell ref="HFE2:HFT2"/>
    <mergeCell ref="HFU2:HGJ2"/>
    <mergeCell ref="HGK2:HGZ2"/>
    <mergeCell ref="HHA2:HHP2"/>
    <mergeCell ref="HHQ2:HIF2"/>
    <mergeCell ref="HIG2:HIV2"/>
    <mergeCell ref="HIW2:HJL2"/>
    <mergeCell ref="HJM2:HKB2"/>
    <mergeCell ref="HKC2:HKR2"/>
    <mergeCell ref="HKS2:HLH2"/>
    <mergeCell ref="HLI2:HLX2"/>
    <mergeCell ref="HLY2:HMN2"/>
    <mergeCell ref="HMO2:HND2"/>
    <mergeCell ref="HNE2:HNT2"/>
    <mergeCell ref="HNU2:HOJ2"/>
    <mergeCell ref="HOK2:HOZ2"/>
    <mergeCell ref="HPA2:HPP2"/>
    <mergeCell ref="HPQ2:HQF2"/>
    <mergeCell ref="HQG2:HQV2"/>
    <mergeCell ref="HQW2:HRL2"/>
    <mergeCell ref="HRM2:HSB2"/>
    <mergeCell ref="HSC2:HSR2"/>
    <mergeCell ref="HSS2:HTH2"/>
    <mergeCell ref="HTI2:HTX2"/>
    <mergeCell ref="HTY2:HUN2"/>
    <mergeCell ref="HUO2:HVD2"/>
    <mergeCell ref="HVE2:HVT2"/>
    <mergeCell ref="HVU2:HWJ2"/>
    <mergeCell ref="HWK2:HWZ2"/>
    <mergeCell ref="HXA2:HXP2"/>
    <mergeCell ref="HXQ2:HYF2"/>
    <mergeCell ref="HYG2:HYV2"/>
    <mergeCell ref="HYW2:HZL2"/>
    <mergeCell ref="HZM2:IAB2"/>
    <mergeCell ref="IAC2:IAR2"/>
    <mergeCell ref="IAS2:IBH2"/>
    <mergeCell ref="IBI2:IBX2"/>
    <mergeCell ref="IBY2:ICN2"/>
    <mergeCell ref="ICO2:IDD2"/>
    <mergeCell ref="IDE2:IDT2"/>
    <mergeCell ref="IDU2:IEJ2"/>
    <mergeCell ref="IEK2:IEZ2"/>
    <mergeCell ref="IFA2:IFP2"/>
    <mergeCell ref="IFQ2:IGF2"/>
    <mergeCell ref="IGG2:IGV2"/>
    <mergeCell ref="IGW2:IHL2"/>
    <mergeCell ref="IHM2:IIB2"/>
    <mergeCell ref="IIC2:IIR2"/>
    <mergeCell ref="IIS2:IJH2"/>
    <mergeCell ref="IJI2:IJX2"/>
    <mergeCell ref="IJY2:IKN2"/>
    <mergeCell ref="IKO2:ILD2"/>
    <mergeCell ref="ILE2:ILT2"/>
    <mergeCell ref="ILU2:IMJ2"/>
    <mergeCell ref="IMK2:IMZ2"/>
    <mergeCell ref="INA2:INP2"/>
    <mergeCell ref="INQ2:IOF2"/>
    <mergeCell ref="IOG2:IOV2"/>
    <mergeCell ref="IOW2:IPL2"/>
    <mergeCell ref="IPM2:IQB2"/>
    <mergeCell ref="IQC2:IQR2"/>
    <mergeCell ref="IQS2:IRH2"/>
    <mergeCell ref="IRI2:IRX2"/>
    <mergeCell ref="IRY2:ISN2"/>
    <mergeCell ref="ISO2:ITD2"/>
    <mergeCell ref="ITE2:ITT2"/>
    <mergeCell ref="ITU2:IUJ2"/>
    <mergeCell ref="IUK2:IUZ2"/>
    <mergeCell ref="IVA2:IVP2"/>
    <mergeCell ref="IVQ2:IWF2"/>
    <mergeCell ref="IWG2:IWV2"/>
    <mergeCell ref="IWW2:IXL2"/>
    <mergeCell ref="IXM2:IYB2"/>
    <mergeCell ref="IYC2:IYR2"/>
    <mergeCell ref="IYS2:IZH2"/>
    <mergeCell ref="IZI2:IZX2"/>
    <mergeCell ref="IZY2:JAN2"/>
    <mergeCell ref="JAO2:JBD2"/>
    <mergeCell ref="JBE2:JBT2"/>
    <mergeCell ref="JBU2:JCJ2"/>
    <mergeCell ref="JCK2:JCZ2"/>
    <mergeCell ref="JDA2:JDP2"/>
    <mergeCell ref="JDQ2:JEF2"/>
    <mergeCell ref="JEG2:JEV2"/>
    <mergeCell ref="JEW2:JFL2"/>
    <mergeCell ref="JFM2:JGB2"/>
    <mergeCell ref="JGC2:JGR2"/>
    <mergeCell ref="JGS2:JHH2"/>
    <mergeCell ref="JHI2:JHX2"/>
    <mergeCell ref="JHY2:JIN2"/>
    <mergeCell ref="JIO2:JJD2"/>
    <mergeCell ref="JJE2:JJT2"/>
    <mergeCell ref="JJU2:JKJ2"/>
    <mergeCell ref="JKK2:JKZ2"/>
    <mergeCell ref="JLA2:JLP2"/>
    <mergeCell ref="JLQ2:JMF2"/>
    <mergeCell ref="JMG2:JMV2"/>
    <mergeCell ref="JMW2:JNL2"/>
    <mergeCell ref="JNM2:JOB2"/>
    <mergeCell ref="JOC2:JOR2"/>
    <mergeCell ref="JOS2:JPH2"/>
    <mergeCell ref="JPI2:JPX2"/>
    <mergeCell ref="JPY2:JQN2"/>
    <mergeCell ref="JQO2:JRD2"/>
    <mergeCell ref="JRE2:JRT2"/>
    <mergeCell ref="JRU2:JSJ2"/>
    <mergeCell ref="JSK2:JSZ2"/>
    <mergeCell ref="JTA2:JTP2"/>
    <mergeCell ref="JTQ2:JUF2"/>
    <mergeCell ref="JUG2:JUV2"/>
    <mergeCell ref="JUW2:JVL2"/>
    <mergeCell ref="JVM2:JWB2"/>
    <mergeCell ref="JWC2:JWR2"/>
    <mergeCell ref="JWS2:JXH2"/>
    <mergeCell ref="JXI2:JXX2"/>
    <mergeCell ref="JXY2:JYN2"/>
    <mergeCell ref="JYO2:JZD2"/>
    <mergeCell ref="JZE2:JZT2"/>
    <mergeCell ref="JZU2:KAJ2"/>
    <mergeCell ref="KAK2:KAZ2"/>
    <mergeCell ref="KBA2:KBP2"/>
    <mergeCell ref="KBQ2:KCF2"/>
    <mergeCell ref="KCG2:KCV2"/>
    <mergeCell ref="KCW2:KDL2"/>
    <mergeCell ref="KDM2:KEB2"/>
    <mergeCell ref="KEC2:KER2"/>
    <mergeCell ref="KES2:KFH2"/>
    <mergeCell ref="KFI2:KFX2"/>
    <mergeCell ref="KFY2:KGN2"/>
    <mergeCell ref="KGO2:KHD2"/>
    <mergeCell ref="KHE2:KHT2"/>
    <mergeCell ref="KHU2:KIJ2"/>
    <mergeCell ref="KIK2:KIZ2"/>
    <mergeCell ref="KJA2:KJP2"/>
    <mergeCell ref="KJQ2:KKF2"/>
    <mergeCell ref="KKG2:KKV2"/>
    <mergeCell ref="KKW2:KLL2"/>
    <mergeCell ref="KLM2:KMB2"/>
    <mergeCell ref="KMC2:KMR2"/>
    <mergeCell ref="KMS2:KNH2"/>
    <mergeCell ref="KNI2:KNX2"/>
    <mergeCell ref="KNY2:KON2"/>
    <mergeCell ref="KOO2:KPD2"/>
    <mergeCell ref="KPE2:KPT2"/>
    <mergeCell ref="KPU2:KQJ2"/>
    <mergeCell ref="KQK2:KQZ2"/>
    <mergeCell ref="KRA2:KRP2"/>
    <mergeCell ref="KRQ2:KSF2"/>
    <mergeCell ref="KSG2:KSV2"/>
    <mergeCell ref="KSW2:KTL2"/>
    <mergeCell ref="KTM2:KUB2"/>
    <mergeCell ref="KUC2:KUR2"/>
    <mergeCell ref="KUS2:KVH2"/>
    <mergeCell ref="KVI2:KVX2"/>
    <mergeCell ref="KVY2:KWN2"/>
    <mergeCell ref="KWO2:KXD2"/>
    <mergeCell ref="KXE2:KXT2"/>
    <mergeCell ref="KXU2:KYJ2"/>
    <mergeCell ref="KYK2:KYZ2"/>
    <mergeCell ref="KZA2:KZP2"/>
    <mergeCell ref="KZQ2:LAF2"/>
    <mergeCell ref="LAG2:LAV2"/>
    <mergeCell ref="LAW2:LBL2"/>
    <mergeCell ref="LBM2:LCB2"/>
    <mergeCell ref="LCC2:LCR2"/>
    <mergeCell ref="LCS2:LDH2"/>
    <mergeCell ref="LDI2:LDX2"/>
    <mergeCell ref="LDY2:LEN2"/>
    <mergeCell ref="LEO2:LFD2"/>
    <mergeCell ref="LFE2:LFT2"/>
    <mergeCell ref="LFU2:LGJ2"/>
    <mergeCell ref="LGK2:LGZ2"/>
    <mergeCell ref="LHA2:LHP2"/>
    <mergeCell ref="LHQ2:LIF2"/>
    <mergeCell ref="LIG2:LIV2"/>
    <mergeCell ref="LIW2:LJL2"/>
    <mergeCell ref="LJM2:LKB2"/>
    <mergeCell ref="LKC2:LKR2"/>
    <mergeCell ref="LKS2:LLH2"/>
    <mergeCell ref="LLI2:LLX2"/>
    <mergeCell ref="LLY2:LMN2"/>
    <mergeCell ref="LMO2:LND2"/>
    <mergeCell ref="LNE2:LNT2"/>
    <mergeCell ref="LNU2:LOJ2"/>
    <mergeCell ref="LOK2:LOZ2"/>
    <mergeCell ref="LPA2:LPP2"/>
    <mergeCell ref="LPQ2:LQF2"/>
    <mergeCell ref="LQG2:LQV2"/>
    <mergeCell ref="LQW2:LRL2"/>
    <mergeCell ref="LRM2:LSB2"/>
    <mergeCell ref="LSC2:LSR2"/>
    <mergeCell ref="LSS2:LTH2"/>
    <mergeCell ref="LTI2:LTX2"/>
    <mergeCell ref="LTY2:LUN2"/>
    <mergeCell ref="LUO2:LVD2"/>
    <mergeCell ref="LVE2:LVT2"/>
    <mergeCell ref="LVU2:LWJ2"/>
    <mergeCell ref="LWK2:LWZ2"/>
    <mergeCell ref="LXA2:LXP2"/>
    <mergeCell ref="LXQ2:LYF2"/>
    <mergeCell ref="LYG2:LYV2"/>
    <mergeCell ref="LYW2:LZL2"/>
    <mergeCell ref="LZM2:MAB2"/>
    <mergeCell ref="MAC2:MAR2"/>
    <mergeCell ref="MAS2:MBH2"/>
    <mergeCell ref="MBI2:MBX2"/>
    <mergeCell ref="MBY2:MCN2"/>
    <mergeCell ref="MCO2:MDD2"/>
    <mergeCell ref="MDE2:MDT2"/>
    <mergeCell ref="MDU2:MEJ2"/>
    <mergeCell ref="MEK2:MEZ2"/>
    <mergeCell ref="MFA2:MFP2"/>
    <mergeCell ref="MFQ2:MGF2"/>
    <mergeCell ref="MGG2:MGV2"/>
    <mergeCell ref="MGW2:MHL2"/>
    <mergeCell ref="MHM2:MIB2"/>
    <mergeCell ref="MIC2:MIR2"/>
    <mergeCell ref="MIS2:MJH2"/>
    <mergeCell ref="MJI2:MJX2"/>
    <mergeCell ref="MJY2:MKN2"/>
    <mergeCell ref="MKO2:MLD2"/>
    <mergeCell ref="MLE2:MLT2"/>
    <mergeCell ref="MLU2:MMJ2"/>
    <mergeCell ref="MMK2:MMZ2"/>
    <mergeCell ref="MNA2:MNP2"/>
    <mergeCell ref="MNQ2:MOF2"/>
    <mergeCell ref="MOG2:MOV2"/>
    <mergeCell ref="MOW2:MPL2"/>
    <mergeCell ref="MPM2:MQB2"/>
    <mergeCell ref="MQC2:MQR2"/>
    <mergeCell ref="MQS2:MRH2"/>
    <mergeCell ref="MRI2:MRX2"/>
    <mergeCell ref="MRY2:MSN2"/>
    <mergeCell ref="MSO2:MTD2"/>
    <mergeCell ref="MTE2:MTT2"/>
    <mergeCell ref="MTU2:MUJ2"/>
    <mergeCell ref="MUK2:MUZ2"/>
    <mergeCell ref="MVA2:MVP2"/>
    <mergeCell ref="MVQ2:MWF2"/>
    <mergeCell ref="MWG2:MWV2"/>
    <mergeCell ref="MWW2:MXL2"/>
    <mergeCell ref="MXM2:MYB2"/>
    <mergeCell ref="MYC2:MYR2"/>
    <mergeCell ref="MYS2:MZH2"/>
    <mergeCell ref="MZI2:MZX2"/>
    <mergeCell ref="MZY2:NAN2"/>
    <mergeCell ref="NAO2:NBD2"/>
    <mergeCell ref="NBE2:NBT2"/>
    <mergeCell ref="NBU2:NCJ2"/>
    <mergeCell ref="NCK2:NCZ2"/>
    <mergeCell ref="NDA2:NDP2"/>
    <mergeCell ref="NDQ2:NEF2"/>
    <mergeCell ref="NEG2:NEV2"/>
    <mergeCell ref="NEW2:NFL2"/>
    <mergeCell ref="NFM2:NGB2"/>
    <mergeCell ref="NGC2:NGR2"/>
    <mergeCell ref="NGS2:NHH2"/>
    <mergeCell ref="NHI2:NHX2"/>
    <mergeCell ref="NHY2:NIN2"/>
    <mergeCell ref="NIO2:NJD2"/>
    <mergeCell ref="NJE2:NJT2"/>
    <mergeCell ref="NJU2:NKJ2"/>
    <mergeCell ref="NKK2:NKZ2"/>
    <mergeCell ref="NLA2:NLP2"/>
    <mergeCell ref="NLQ2:NMF2"/>
    <mergeCell ref="NMG2:NMV2"/>
    <mergeCell ref="NMW2:NNL2"/>
    <mergeCell ref="NNM2:NOB2"/>
    <mergeCell ref="NOC2:NOR2"/>
    <mergeCell ref="NOS2:NPH2"/>
    <mergeCell ref="NPI2:NPX2"/>
    <mergeCell ref="NPY2:NQN2"/>
    <mergeCell ref="NQO2:NRD2"/>
    <mergeCell ref="NRE2:NRT2"/>
    <mergeCell ref="NRU2:NSJ2"/>
    <mergeCell ref="NSK2:NSZ2"/>
    <mergeCell ref="NTA2:NTP2"/>
    <mergeCell ref="NTQ2:NUF2"/>
    <mergeCell ref="NUG2:NUV2"/>
    <mergeCell ref="NUW2:NVL2"/>
    <mergeCell ref="NVM2:NWB2"/>
    <mergeCell ref="NWC2:NWR2"/>
    <mergeCell ref="NWS2:NXH2"/>
    <mergeCell ref="NXI2:NXX2"/>
    <mergeCell ref="NXY2:NYN2"/>
    <mergeCell ref="NYO2:NZD2"/>
    <mergeCell ref="NZE2:NZT2"/>
    <mergeCell ref="NZU2:OAJ2"/>
    <mergeCell ref="OAK2:OAZ2"/>
    <mergeCell ref="OBA2:OBP2"/>
    <mergeCell ref="OBQ2:OCF2"/>
    <mergeCell ref="OCG2:OCV2"/>
    <mergeCell ref="OCW2:ODL2"/>
    <mergeCell ref="ODM2:OEB2"/>
    <mergeCell ref="OEC2:OER2"/>
    <mergeCell ref="OES2:OFH2"/>
    <mergeCell ref="OFI2:OFX2"/>
    <mergeCell ref="OFY2:OGN2"/>
    <mergeCell ref="OGO2:OHD2"/>
    <mergeCell ref="OHE2:OHT2"/>
    <mergeCell ref="OHU2:OIJ2"/>
    <mergeCell ref="OIK2:OIZ2"/>
    <mergeCell ref="OJA2:OJP2"/>
    <mergeCell ref="OJQ2:OKF2"/>
    <mergeCell ref="OKG2:OKV2"/>
    <mergeCell ref="OKW2:OLL2"/>
    <mergeCell ref="OLM2:OMB2"/>
    <mergeCell ref="OMC2:OMR2"/>
    <mergeCell ref="OMS2:ONH2"/>
    <mergeCell ref="ONI2:ONX2"/>
    <mergeCell ref="ONY2:OON2"/>
    <mergeCell ref="OOO2:OPD2"/>
    <mergeCell ref="OPE2:OPT2"/>
    <mergeCell ref="OPU2:OQJ2"/>
    <mergeCell ref="OQK2:OQZ2"/>
    <mergeCell ref="ORA2:ORP2"/>
    <mergeCell ref="ORQ2:OSF2"/>
    <mergeCell ref="OSG2:OSV2"/>
    <mergeCell ref="OSW2:OTL2"/>
    <mergeCell ref="OTM2:OUB2"/>
    <mergeCell ref="OUC2:OUR2"/>
    <mergeCell ref="OUS2:OVH2"/>
    <mergeCell ref="OVI2:OVX2"/>
    <mergeCell ref="OVY2:OWN2"/>
    <mergeCell ref="OWO2:OXD2"/>
    <mergeCell ref="OXE2:OXT2"/>
    <mergeCell ref="OXU2:OYJ2"/>
    <mergeCell ref="OYK2:OYZ2"/>
    <mergeCell ref="OZA2:OZP2"/>
    <mergeCell ref="OZQ2:PAF2"/>
    <mergeCell ref="PAG2:PAV2"/>
    <mergeCell ref="PAW2:PBL2"/>
    <mergeCell ref="PBM2:PCB2"/>
    <mergeCell ref="PCC2:PCR2"/>
    <mergeCell ref="PCS2:PDH2"/>
    <mergeCell ref="PDI2:PDX2"/>
    <mergeCell ref="PDY2:PEN2"/>
    <mergeCell ref="PEO2:PFD2"/>
    <mergeCell ref="PFE2:PFT2"/>
    <mergeCell ref="PFU2:PGJ2"/>
    <mergeCell ref="PGK2:PGZ2"/>
    <mergeCell ref="PHA2:PHP2"/>
    <mergeCell ref="PHQ2:PIF2"/>
    <mergeCell ref="PIG2:PIV2"/>
    <mergeCell ref="PIW2:PJL2"/>
    <mergeCell ref="PJM2:PKB2"/>
    <mergeCell ref="PKC2:PKR2"/>
    <mergeCell ref="PKS2:PLH2"/>
    <mergeCell ref="PLI2:PLX2"/>
    <mergeCell ref="PLY2:PMN2"/>
    <mergeCell ref="PMO2:PND2"/>
    <mergeCell ref="PNE2:PNT2"/>
    <mergeCell ref="PNU2:POJ2"/>
    <mergeCell ref="POK2:POZ2"/>
    <mergeCell ref="PPA2:PPP2"/>
    <mergeCell ref="PPQ2:PQF2"/>
    <mergeCell ref="PQG2:PQV2"/>
    <mergeCell ref="PQW2:PRL2"/>
    <mergeCell ref="PRM2:PSB2"/>
    <mergeCell ref="PSC2:PSR2"/>
    <mergeCell ref="PSS2:PTH2"/>
    <mergeCell ref="PTI2:PTX2"/>
    <mergeCell ref="PTY2:PUN2"/>
    <mergeCell ref="PUO2:PVD2"/>
    <mergeCell ref="PVE2:PVT2"/>
    <mergeCell ref="PVU2:PWJ2"/>
    <mergeCell ref="PWK2:PWZ2"/>
    <mergeCell ref="PXA2:PXP2"/>
    <mergeCell ref="PXQ2:PYF2"/>
    <mergeCell ref="PYG2:PYV2"/>
    <mergeCell ref="PYW2:PZL2"/>
    <mergeCell ref="PZM2:QAB2"/>
    <mergeCell ref="QAC2:QAR2"/>
    <mergeCell ref="QAS2:QBH2"/>
    <mergeCell ref="QBI2:QBX2"/>
    <mergeCell ref="QBY2:QCN2"/>
    <mergeCell ref="QCO2:QDD2"/>
    <mergeCell ref="QDE2:QDT2"/>
    <mergeCell ref="QDU2:QEJ2"/>
    <mergeCell ref="QEK2:QEZ2"/>
    <mergeCell ref="QFA2:QFP2"/>
    <mergeCell ref="QFQ2:QGF2"/>
    <mergeCell ref="QGG2:QGV2"/>
    <mergeCell ref="QGW2:QHL2"/>
    <mergeCell ref="QHM2:QIB2"/>
    <mergeCell ref="QIC2:QIR2"/>
    <mergeCell ref="QIS2:QJH2"/>
    <mergeCell ref="QJI2:QJX2"/>
    <mergeCell ref="QJY2:QKN2"/>
    <mergeCell ref="QKO2:QLD2"/>
    <mergeCell ref="QLE2:QLT2"/>
    <mergeCell ref="QLU2:QMJ2"/>
    <mergeCell ref="QMK2:QMZ2"/>
    <mergeCell ref="QNA2:QNP2"/>
    <mergeCell ref="QNQ2:QOF2"/>
    <mergeCell ref="QOG2:QOV2"/>
    <mergeCell ref="QOW2:QPL2"/>
    <mergeCell ref="QPM2:QQB2"/>
    <mergeCell ref="QQC2:QQR2"/>
    <mergeCell ref="QQS2:QRH2"/>
    <mergeCell ref="QRI2:QRX2"/>
    <mergeCell ref="QRY2:QSN2"/>
    <mergeCell ref="QSO2:QTD2"/>
    <mergeCell ref="QTE2:QTT2"/>
    <mergeCell ref="QTU2:QUJ2"/>
    <mergeCell ref="QUK2:QUZ2"/>
    <mergeCell ref="QVA2:QVP2"/>
    <mergeCell ref="QVQ2:QWF2"/>
    <mergeCell ref="QWG2:QWV2"/>
    <mergeCell ref="QWW2:QXL2"/>
    <mergeCell ref="QXM2:QYB2"/>
    <mergeCell ref="QYC2:QYR2"/>
    <mergeCell ref="QYS2:QZH2"/>
    <mergeCell ref="QZI2:QZX2"/>
    <mergeCell ref="QZY2:RAN2"/>
    <mergeCell ref="RAO2:RBD2"/>
    <mergeCell ref="RBE2:RBT2"/>
    <mergeCell ref="RBU2:RCJ2"/>
    <mergeCell ref="RCK2:RCZ2"/>
    <mergeCell ref="RDA2:RDP2"/>
    <mergeCell ref="RDQ2:REF2"/>
    <mergeCell ref="REG2:REV2"/>
    <mergeCell ref="REW2:RFL2"/>
    <mergeCell ref="RFM2:RGB2"/>
    <mergeCell ref="RGC2:RGR2"/>
    <mergeCell ref="RGS2:RHH2"/>
    <mergeCell ref="RHI2:RHX2"/>
    <mergeCell ref="RHY2:RIN2"/>
    <mergeCell ref="RIO2:RJD2"/>
    <mergeCell ref="RJE2:RJT2"/>
    <mergeCell ref="RJU2:RKJ2"/>
    <mergeCell ref="RKK2:RKZ2"/>
    <mergeCell ref="RLA2:RLP2"/>
    <mergeCell ref="RLQ2:RMF2"/>
    <mergeCell ref="RMG2:RMV2"/>
    <mergeCell ref="RMW2:RNL2"/>
    <mergeCell ref="RNM2:ROB2"/>
    <mergeCell ref="ROC2:ROR2"/>
    <mergeCell ref="ROS2:RPH2"/>
    <mergeCell ref="RPI2:RPX2"/>
    <mergeCell ref="RPY2:RQN2"/>
    <mergeCell ref="RQO2:RRD2"/>
    <mergeCell ref="RRE2:RRT2"/>
    <mergeCell ref="RRU2:RSJ2"/>
    <mergeCell ref="RSK2:RSZ2"/>
    <mergeCell ref="RTA2:RTP2"/>
    <mergeCell ref="RTQ2:RUF2"/>
    <mergeCell ref="RUG2:RUV2"/>
    <mergeCell ref="RUW2:RVL2"/>
    <mergeCell ref="RVM2:RWB2"/>
    <mergeCell ref="RWC2:RWR2"/>
    <mergeCell ref="RWS2:RXH2"/>
    <mergeCell ref="RXI2:RXX2"/>
    <mergeCell ref="RXY2:RYN2"/>
    <mergeCell ref="RYO2:RZD2"/>
    <mergeCell ref="RZE2:RZT2"/>
    <mergeCell ref="RZU2:SAJ2"/>
    <mergeCell ref="SAK2:SAZ2"/>
    <mergeCell ref="SBA2:SBP2"/>
    <mergeCell ref="SBQ2:SCF2"/>
    <mergeCell ref="SCG2:SCV2"/>
    <mergeCell ref="SCW2:SDL2"/>
    <mergeCell ref="SDM2:SEB2"/>
    <mergeCell ref="SEC2:SER2"/>
    <mergeCell ref="SES2:SFH2"/>
    <mergeCell ref="SFI2:SFX2"/>
    <mergeCell ref="SFY2:SGN2"/>
    <mergeCell ref="SGO2:SHD2"/>
    <mergeCell ref="SHE2:SHT2"/>
    <mergeCell ref="SHU2:SIJ2"/>
    <mergeCell ref="SIK2:SIZ2"/>
    <mergeCell ref="SJA2:SJP2"/>
    <mergeCell ref="SJQ2:SKF2"/>
    <mergeCell ref="SKG2:SKV2"/>
    <mergeCell ref="SKW2:SLL2"/>
    <mergeCell ref="SLM2:SMB2"/>
    <mergeCell ref="SMC2:SMR2"/>
    <mergeCell ref="SMS2:SNH2"/>
    <mergeCell ref="SNI2:SNX2"/>
    <mergeCell ref="SNY2:SON2"/>
    <mergeCell ref="SOO2:SPD2"/>
    <mergeCell ref="SPE2:SPT2"/>
    <mergeCell ref="SPU2:SQJ2"/>
    <mergeCell ref="SQK2:SQZ2"/>
    <mergeCell ref="SRA2:SRP2"/>
    <mergeCell ref="SRQ2:SSF2"/>
    <mergeCell ref="SSG2:SSV2"/>
    <mergeCell ref="SSW2:STL2"/>
    <mergeCell ref="STM2:SUB2"/>
    <mergeCell ref="SUC2:SUR2"/>
    <mergeCell ref="SUS2:SVH2"/>
    <mergeCell ref="SVI2:SVX2"/>
    <mergeCell ref="SVY2:SWN2"/>
    <mergeCell ref="SWO2:SXD2"/>
    <mergeCell ref="SXE2:SXT2"/>
    <mergeCell ref="SXU2:SYJ2"/>
    <mergeCell ref="SYK2:SYZ2"/>
    <mergeCell ref="SZA2:SZP2"/>
    <mergeCell ref="SZQ2:TAF2"/>
    <mergeCell ref="TAG2:TAV2"/>
    <mergeCell ref="TAW2:TBL2"/>
    <mergeCell ref="TBM2:TCB2"/>
    <mergeCell ref="TCC2:TCR2"/>
    <mergeCell ref="TCS2:TDH2"/>
    <mergeCell ref="TDI2:TDX2"/>
    <mergeCell ref="TDY2:TEN2"/>
    <mergeCell ref="TEO2:TFD2"/>
    <mergeCell ref="TFE2:TFT2"/>
    <mergeCell ref="TFU2:TGJ2"/>
    <mergeCell ref="TGK2:TGZ2"/>
    <mergeCell ref="THA2:THP2"/>
    <mergeCell ref="THQ2:TIF2"/>
    <mergeCell ref="TIG2:TIV2"/>
    <mergeCell ref="TIW2:TJL2"/>
    <mergeCell ref="TJM2:TKB2"/>
    <mergeCell ref="TKC2:TKR2"/>
    <mergeCell ref="TKS2:TLH2"/>
    <mergeCell ref="TLI2:TLX2"/>
    <mergeCell ref="TLY2:TMN2"/>
    <mergeCell ref="TMO2:TND2"/>
    <mergeCell ref="TNE2:TNT2"/>
    <mergeCell ref="TNU2:TOJ2"/>
    <mergeCell ref="TOK2:TOZ2"/>
    <mergeCell ref="TPA2:TPP2"/>
    <mergeCell ref="TPQ2:TQF2"/>
    <mergeCell ref="TQG2:TQV2"/>
    <mergeCell ref="TQW2:TRL2"/>
    <mergeCell ref="TRM2:TSB2"/>
    <mergeCell ref="TSC2:TSR2"/>
    <mergeCell ref="TSS2:TTH2"/>
    <mergeCell ref="TTI2:TTX2"/>
    <mergeCell ref="TTY2:TUN2"/>
    <mergeCell ref="TUO2:TVD2"/>
    <mergeCell ref="TVE2:TVT2"/>
    <mergeCell ref="TVU2:TWJ2"/>
    <mergeCell ref="TWK2:TWZ2"/>
    <mergeCell ref="TXA2:TXP2"/>
    <mergeCell ref="TXQ2:TYF2"/>
    <mergeCell ref="TYG2:TYV2"/>
    <mergeCell ref="TYW2:TZL2"/>
    <mergeCell ref="TZM2:UAB2"/>
    <mergeCell ref="UAC2:UAR2"/>
    <mergeCell ref="UAS2:UBH2"/>
    <mergeCell ref="UBI2:UBX2"/>
    <mergeCell ref="UBY2:UCN2"/>
    <mergeCell ref="UCO2:UDD2"/>
    <mergeCell ref="UDE2:UDT2"/>
    <mergeCell ref="UDU2:UEJ2"/>
    <mergeCell ref="UEK2:UEZ2"/>
    <mergeCell ref="UFA2:UFP2"/>
    <mergeCell ref="UFQ2:UGF2"/>
    <mergeCell ref="UGG2:UGV2"/>
    <mergeCell ref="UGW2:UHL2"/>
    <mergeCell ref="UHM2:UIB2"/>
    <mergeCell ref="UIC2:UIR2"/>
    <mergeCell ref="UIS2:UJH2"/>
    <mergeCell ref="UJI2:UJX2"/>
    <mergeCell ref="UJY2:UKN2"/>
    <mergeCell ref="UKO2:ULD2"/>
    <mergeCell ref="ULE2:ULT2"/>
    <mergeCell ref="ULU2:UMJ2"/>
    <mergeCell ref="UMK2:UMZ2"/>
    <mergeCell ref="UNA2:UNP2"/>
    <mergeCell ref="UNQ2:UOF2"/>
    <mergeCell ref="UOG2:UOV2"/>
    <mergeCell ref="UOW2:UPL2"/>
    <mergeCell ref="UPM2:UQB2"/>
    <mergeCell ref="UQC2:UQR2"/>
    <mergeCell ref="UQS2:URH2"/>
    <mergeCell ref="URI2:URX2"/>
    <mergeCell ref="URY2:USN2"/>
    <mergeCell ref="USO2:UTD2"/>
    <mergeCell ref="UTE2:UTT2"/>
    <mergeCell ref="UTU2:UUJ2"/>
    <mergeCell ref="UUK2:UUZ2"/>
    <mergeCell ref="UVA2:UVP2"/>
    <mergeCell ref="UVQ2:UWF2"/>
    <mergeCell ref="UWG2:UWV2"/>
    <mergeCell ref="UWW2:UXL2"/>
    <mergeCell ref="UXM2:UYB2"/>
    <mergeCell ref="UYC2:UYR2"/>
    <mergeCell ref="UYS2:UZH2"/>
    <mergeCell ref="UZI2:UZX2"/>
    <mergeCell ref="UZY2:VAN2"/>
    <mergeCell ref="VAO2:VBD2"/>
    <mergeCell ref="VBE2:VBT2"/>
    <mergeCell ref="VBU2:VCJ2"/>
    <mergeCell ref="VCK2:VCZ2"/>
    <mergeCell ref="VDA2:VDP2"/>
    <mergeCell ref="VDQ2:VEF2"/>
    <mergeCell ref="VEG2:VEV2"/>
    <mergeCell ref="VEW2:VFL2"/>
    <mergeCell ref="VFM2:VGB2"/>
    <mergeCell ref="VGC2:VGR2"/>
    <mergeCell ref="VGS2:VHH2"/>
    <mergeCell ref="VHI2:VHX2"/>
    <mergeCell ref="VHY2:VIN2"/>
    <mergeCell ref="VIO2:VJD2"/>
    <mergeCell ref="VJE2:VJT2"/>
    <mergeCell ref="VJU2:VKJ2"/>
    <mergeCell ref="VKK2:VKZ2"/>
    <mergeCell ref="VLA2:VLP2"/>
    <mergeCell ref="VLQ2:VMF2"/>
    <mergeCell ref="VMG2:VMV2"/>
    <mergeCell ref="VMW2:VNL2"/>
    <mergeCell ref="VNM2:VOB2"/>
    <mergeCell ref="VOC2:VOR2"/>
    <mergeCell ref="VOS2:VPH2"/>
    <mergeCell ref="VPI2:VPX2"/>
    <mergeCell ref="VPY2:VQN2"/>
    <mergeCell ref="VQO2:VRD2"/>
    <mergeCell ref="VRE2:VRT2"/>
    <mergeCell ref="VRU2:VSJ2"/>
    <mergeCell ref="VSK2:VSZ2"/>
    <mergeCell ref="VTA2:VTP2"/>
    <mergeCell ref="VTQ2:VUF2"/>
    <mergeCell ref="VUG2:VUV2"/>
    <mergeCell ref="VUW2:VVL2"/>
    <mergeCell ref="VVM2:VWB2"/>
    <mergeCell ref="VWC2:VWR2"/>
    <mergeCell ref="VWS2:VXH2"/>
    <mergeCell ref="VXI2:VXX2"/>
    <mergeCell ref="VXY2:VYN2"/>
    <mergeCell ref="VYO2:VZD2"/>
    <mergeCell ref="VZE2:VZT2"/>
    <mergeCell ref="VZU2:WAJ2"/>
    <mergeCell ref="WAK2:WAZ2"/>
    <mergeCell ref="WBA2:WBP2"/>
    <mergeCell ref="WBQ2:WCF2"/>
    <mergeCell ref="WCG2:WCV2"/>
    <mergeCell ref="WCW2:WDL2"/>
    <mergeCell ref="WDM2:WEB2"/>
    <mergeCell ref="WEC2:WER2"/>
    <mergeCell ref="WES2:WFH2"/>
    <mergeCell ref="WFI2:WFX2"/>
    <mergeCell ref="WFY2:WGN2"/>
    <mergeCell ref="WGO2:WHD2"/>
    <mergeCell ref="WHE2:WHT2"/>
    <mergeCell ref="WHU2:WIJ2"/>
    <mergeCell ref="WIK2:WIZ2"/>
    <mergeCell ref="WJA2:WJP2"/>
    <mergeCell ref="WJQ2:WKF2"/>
    <mergeCell ref="WKG2:WKV2"/>
    <mergeCell ref="WKW2:WLL2"/>
    <mergeCell ref="WLM2:WMB2"/>
    <mergeCell ref="WMC2:WMR2"/>
    <mergeCell ref="WMS2:WNH2"/>
    <mergeCell ref="WNI2:WNX2"/>
    <mergeCell ref="WNY2:WON2"/>
    <mergeCell ref="WOO2:WPD2"/>
    <mergeCell ref="WPE2:WPT2"/>
    <mergeCell ref="WPU2:WQJ2"/>
    <mergeCell ref="WQK2:WQZ2"/>
    <mergeCell ref="WRA2:WRP2"/>
    <mergeCell ref="WRQ2:WSF2"/>
    <mergeCell ref="WSG2:WSV2"/>
    <mergeCell ref="WSW2:WTL2"/>
    <mergeCell ref="WTM2:WUB2"/>
    <mergeCell ref="WUC2:WUR2"/>
    <mergeCell ref="WUS2:WVH2"/>
    <mergeCell ref="WVI2:WVX2"/>
    <mergeCell ref="WVY2:WWN2"/>
    <mergeCell ref="WWO2:WXD2"/>
    <mergeCell ref="WXE2:WXT2"/>
    <mergeCell ref="WXU2:WYJ2"/>
    <mergeCell ref="WYK2:WYZ2"/>
    <mergeCell ref="WZA2:WZP2"/>
    <mergeCell ref="WZQ2:XAF2"/>
    <mergeCell ref="XAG2:XAV2"/>
    <mergeCell ref="XAW2:XBL2"/>
    <mergeCell ref="XBM2:XCB2"/>
    <mergeCell ref="XCC2:XCR2"/>
    <mergeCell ref="XCS2:XDH2"/>
    <mergeCell ref="XDI2:XDX2"/>
    <mergeCell ref="XDY2:XEN2"/>
    <mergeCell ref="XEO2:XFD2"/>
    <mergeCell ref="A4:Q4"/>
    <mergeCell ref="C7:K7"/>
    <mergeCell ref="L7:W7"/>
    <mergeCell ref="A7:A8"/>
    <mergeCell ref="B7:B8"/>
  </mergeCells>
  <pageMargins left="0.7" right="0.7" top="0.75" bottom="0.7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N29"/>
  <sheetViews>
    <sheetView topLeftCell="C1" workbookViewId="0">
      <selection activeCell="P22" sqref="P22"/>
    </sheetView>
  </sheetViews>
  <sheetFormatPr defaultColWidth="11.552380952381" defaultRowHeight="15"/>
  <cols>
    <col min="1" max="1" width="72.6666666666667" customWidth="1"/>
    <col min="2" max="2" width="21.8857142857143" customWidth="1"/>
    <col min="3" max="3" width="14.6666666666667" customWidth="1"/>
    <col min="4" max="4" width="14.3333333333333" customWidth="1"/>
    <col min="5" max="5" width="13.6666666666667" customWidth="1"/>
    <col min="6" max="6" width="12.6666666666667" customWidth="1"/>
    <col min="7" max="7" width="13.6666666666667" customWidth="1"/>
    <col min="8" max="8" width="12.6666666666667" customWidth="1"/>
    <col min="9" max="9" width="14.6666666666667" customWidth="1"/>
    <col min="13" max="13" width="16.6666666666667" customWidth="1"/>
  </cols>
  <sheetData>
    <row r="3" spans="1:2">
      <c r="A3" t="s">
        <v>994</v>
      </c>
      <c r="B3" t="s">
        <v>995</v>
      </c>
    </row>
    <row r="4" spans="1:9">
      <c r="A4" t="s">
        <v>996</v>
      </c>
      <c r="B4" t="s">
        <v>997</v>
      </c>
      <c r="C4" t="s">
        <v>998</v>
      </c>
      <c r="D4" t="s">
        <v>999</v>
      </c>
      <c r="E4" t="s">
        <v>1000</v>
      </c>
      <c r="F4" t="s">
        <v>1001</v>
      </c>
      <c r="G4" t="s">
        <v>1002</v>
      </c>
      <c r="H4" t="s">
        <v>1003</v>
      </c>
      <c r="I4" t="s">
        <v>1004</v>
      </c>
    </row>
    <row r="5" spans="1:9">
      <c r="A5" s="320" t="s">
        <v>499</v>
      </c>
      <c r="B5">
        <v>8095272.72727273</v>
      </c>
      <c r="C5">
        <v>12014945.4545455</v>
      </c>
      <c r="E5">
        <v>2847525.45454545</v>
      </c>
      <c r="F5">
        <v>3495360.90909091</v>
      </c>
      <c r="G5">
        <v>7083195.45454545</v>
      </c>
      <c r="I5">
        <v>33536300</v>
      </c>
    </row>
    <row r="6" spans="1:9">
      <c r="A6" s="320" t="s">
        <v>1005</v>
      </c>
      <c r="E6">
        <v>10844242.34</v>
      </c>
      <c r="G6">
        <v>10845142.34</v>
      </c>
      <c r="I6">
        <v>21689384.68</v>
      </c>
    </row>
    <row r="7" spans="1:9">
      <c r="A7" s="320" t="s">
        <v>1006</v>
      </c>
      <c r="C7">
        <v>83572028</v>
      </c>
      <c r="I7">
        <v>83572028</v>
      </c>
    </row>
    <row r="8" spans="1:9">
      <c r="A8" s="320" t="s">
        <v>1007</v>
      </c>
      <c r="B8">
        <v>2034500</v>
      </c>
      <c r="C8">
        <v>23748000</v>
      </c>
      <c r="D8">
        <v>2451400</v>
      </c>
      <c r="E8">
        <v>5449501</v>
      </c>
      <c r="F8">
        <v>2451400</v>
      </c>
      <c r="G8">
        <v>7449002</v>
      </c>
      <c r="H8">
        <v>2034500</v>
      </c>
      <c r="I8">
        <v>45618303</v>
      </c>
    </row>
    <row r="9" spans="1:9">
      <c r="A9" s="320" t="s">
        <v>1008</v>
      </c>
      <c r="C9">
        <v>56220930.8</v>
      </c>
      <c r="I9">
        <v>56220930.8</v>
      </c>
    </row>
    <row r="10" spans="1:9">
      <c r="A10" s="320" t="s">
        <v>1004</v>
      </c>
      <c r="B10">
        <v>10129772.7272727</v>
      </c>
      <c r="C10">
        <v>175555904.254545</v>
      </c>
      <c r="D10">
        <v>2451400</v>
      </c>
      <c r="E10">
        <v>19141268.7945455</v>
      </c>
      <c r="F10">
        <v>5946760.90909091</v>
      </c>
      <c r="G10">
        <v>25377339.7945455</v>
      </c>
      <c r="H10">
        <v>2034500</v>
      </c>
      <c r="I10">
        <v>240636946.48</v>
      </c>
    </row>
    <row r="15" spans="1:9">
      <c r="A15" t="s">
        <v>10</v>
      </c>
      <c r="B15" t="s">
        <v>998</v>
      </c>
      <c r="C15" t="s">
        <v>1002</v>
      </c>
      <c r="D15" t="s">
        <v>1000</v>
      </c>
      <c r="E15" t="s">
        <v>997</v>
      </c>
      <c r="F15" t="s">
        <v>1001</v>
      </c>
      <c r="G15" t="s">
        <v>999</v>
      </c>
      <c r="H15" t="s">
        <v>1003</v>
      </c>
      <c r="I15" t="s">
        <v>1004</v>
      </c>
    </row>
    <row r="16" spans="1:9">
      <c r="A16" t="s">
        <v>1007</v>
      </c>
      <c r="B16" s="321">
        <v>23748000</v>
      </c>
      <c r="C16" s="321">
        <v>7449002</v>
      </c>
      <c r="D16" s="321">
        <v>5449501</v>
      </c>
      <c r="E16" s="321">
        <v>2034500</v>
      </c>
      <c r="F16" s="321">
        <v>2451400</v>
      </c>
      <c r="G16" s="321">
        <v>2451400</v>
      </c>
      <c r="H16" s="321">
        <v>2034500</v>
      </c>
      <c r="I16" s="321">
        <v>45618303</v>
      </c>
    </row>
    <row r="17" spans="1:9">
      <c r="A17" t="s">
        <v>1005</v>
      </c>
      <c r="B17" s="321"/>
      <c r="C17" s="321">
        <v>10845142.34</v>
      </c>
      <c r="D17" s="321">
        <v>10844242.34</v>
      </c>
      <c r="E17" s="321"/>
      <c r="F17" s="321"/>
      <c r="G17" s="321"/>
      <c r="H17" s="321"/>
      <c r="I17" s="321">
        <v>21689384.68</v>
      </c>
    </row>
    <row r="18" spans="1:9">
      <c r="A18" t="s">
        <v>1006</v>
      </c>
      <c r="B18" s="321">
        <v>83572028</v>
      </c>
      <c r="C18" s="321"/>
      <c r="D18" s="321"/>
      <c r="E18" s="321"/>
      <c r="F18" s="321"/>
      <c r="G18" s="321"/>
      <c r="H18" s="321"/>
      <c r="I18" s="321">
        <v>83572028</v>
      </c>
    </row>
    <row r="19" spans="1:9">
      <c r="A19" t="s">
        <v>1008</v>
      </c>
      <c r="B19" s="321">
        <v>56220930.8</v>
      </c>
      <c r="C19" s="321"/>
      <c r="D19" s="321"/>
      <c r="E19" s="321"/>
      <c r="F19" s="321"/>
      <c r="G19" s="321"/>
      <c r="H19" s="321"/>
      <c r="I19" s="321">
        <v>56220930.8</v>
      </c>
    </row>
    <row r="20" spans="1:9">
      <c r="A20" t="s">
        <v>499</v>
      </c>
      <c r="B20" s="321">
        <v>12014945.4545455</v>
      </c>
      <c r="C20" s="321">
        <v>7083195.45454545</v>
      </c>
      <c r="D20" s="321">
        <v>2847525.45454545</v>
      </c>
      <c r="E20" s="321">
        <v>8095272.72727273</v>
      </c>
      <c r="F20" s="321">
        <v>3495360.90909091</v>
      </c>
      <c r="G20" s="321"/>
      <c r="H20" s="321"/>
      <c r="I20" s="321">
        <v>33536300</v>
      </c>
    </row>
    <row r="21" spans="1:9">
      <c r="A21" t="s">
        <v>1004</v>
      </c>
      <c r="B21" s="321">
        <v>175555904.254545</v>
      </c>
      <c r="C21" s="321">
        <v>25377339.7945455</v>
      </c>
      <c r="D21" s="321">
        <v>19141268.7945455</v>
      </c>
      <c r="E21" s="321">
        <v>10129772.7272727</v>
      </c>
      <c r="F21" s="321">
        <v>5946760.90909091</v>
      </c>
      <c r="G21" s="321">
        <v>2451400</v>
      </c>
      <c r="H21" s="321">
        <v>2034500</v>
      </c>
      <c r="I21" s="321">
        <v>240636946.48</v>
      </c>
    </row>
    <row r="22" spans="9:9">
      <c r="I22" s="322">
        <f>+I21*1.16</f>
        <v>279138857.9168</v>
      </c>
    </row>
    <row r="24" ht="15.75"/>
    <row r="25" ht="15.75" spans="9:13">
      <c r="I25" s="322">
        <f>+I21*0.49</f>
        <v>117912103.7752</v>
      </c>
      <c r="J25" s="323">
        <f>+I25/I27</f>
        <v>0.422413793103448</v>
      </c>
      <c r="M25" s="324">
        <v>119250492.91</v>
      </c>
    </row>
    <row r="26" ht="15.75" spans="9:13">
      <c r="I26" s="254">
        <f>+I22-I25</f>
        <v>161226754.1416</v>
      </c>
      <c r="J26" s="323">
        <f>+I26/I27</f>
        <v>0.577586206896552</v>
      </c>
      <c r="M26" s="325">
        <v>163056796.43</v>
      </c>
    </row>
    <row r="27" ht="15.75" spans="9:13">
      <c r="I27" s="254">
        <f>+SUM(I25:I26)</f>
        <v>279138857.9168</v>
      </c>
      <c r="M27" s="326">
        <v>282307289.34</v>
      </c>
    </row>
    <row r="29" spans="13:14">
      <c r="M29" s="322">
        <f>+M27/1.16</f>
        <v>243368352.87931</v>
      </c>
      <c r="N29" s="254">
        <f>+M25/M29</f>
        <v>0.489999999996458</v>
      </c>
    </row>
  </sheetData>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499984740745262"/>
  </sheetPr>
  <dimension ref="B2:AB48"/>
  <sheetViews>
    <sheetView zoomScale="90" zoomScaleNormal="90" workbookViewId="0">
      <selection activeCell="A48" sqref="$A48:$XFD55"/>
    </sheetView>
  </sheetViews>
  <sheetFormatPr defaultColWidth="11.552380952381" defaultRowHeight="12.75"/>
  <cols>
    <col min="1" max="1" width="3" style="80" customWidth="1"/>
    <col min="2" max="2" width="5.33333333333333" style="80" customWidth="1"/>
    <col min="3" max="3" width="13.3333333333333" style="80" customWidth="1"/>
    <col min="4" max="4" width="15" style="80" customWidth="1"/>
    <col min="5" max="6" width="13.6666666666667" style="80" customWidth="1"/>
    <col min="7" max="7" width="16.8857142857143" style="80" customWidth="1"/>
    <col min="8" max="8" width="16.1047619047619" style="80" customWidth="1"/>
    <col min="9" max="9" width="13" style="80" customWidth="1"/>
    <col min="10" max="10" width="16.6666666666667" style="80" customWidth="1"/>
    <col min="11" max="11" width="14.8857142857143" style="80" customWidth="1"/>
    <col min="12" max="12" width="11.6666666666667" style="80" customWidth="1"/>
    <col min="13" max="13" width="13" style="80" customWidth="1"/>
    <col min="14" max="17" width="14" style="80" customWidth="1"/>
    <col min="18" max="19" width="13" style="80" customWidth="1"/>
    <col min="20" max="20" width="11.6666666666667" style="80" customWidth="1"/>
    <col min="21" max="23" width="14" style="80" customWidth="1"/>
    <col min="24" max="24" width="13" style="80" customWidth="1"/>
    <col min="25" max="27" width="11.6666666666667" style="80" customWidth="1"/>
    <col min="28" max="28" width="15" style="80" customWidth="1"/>
    <col min="29" max="16384" width="11.552380952381" style="80"/>
  </cols>
  <sheetData>
    <row r="2" ht="21" customHeight="1" spans="2:15">
      <c r="B2" s="2" t="s">
        <v>0</v>
      </c>
      <c r="C2" s="2"/>
      <c r="D2" s="2"/>
      <c r="E2" s="2"/>
      <c r="F2" s="2"/>
      <c r="G2" s="2"/>
      <c r="H2" s="2"/>
      <c r="I2" s="2"/>
      <c r="J2" s="2"/>
      <c r="K2" s="2"/>
      <c r="L2" s="2"/>
      <c r="M2" s="2"/>
      <c r="N2" s="2"/>
      <c r="O2" s="2"/>
    </row>
    <row r="3" spans="28:28">
      <c r="AB3" s="319"/>
    </row>
    <row r="4" s="305" customFormat="1" ht="15" spans="2:27">
      <c r="B4" s="306" t="s">
        <v>1009</v>
      </c>
      <c r="C4" s="306"/>
      <c r="D4" s="306"/>
      <c r="E4" s="306"/>
      <c r="F4" s="306"/>
      <c r="G4" s="306"/>
      <c r="H4" s="306"/>
      <c r="I4" s="306"/>
      <c r="J4" s="306"/>
      <c r="K4" s="306"/>
      <c r="L4" s="306"/>
      <c r="M4" s="306"/>
      <c r="N4" s="306"/>
      <c r="O4" s="306"/>
      <c r="P4" s="306"/>
      <c r="Q4" s="306"/>
      <c r="R4" s="306"/>
      <c r="S4" s="318"/>
      <c r="T4" s="318"/>
      <c r="U4" s="318"/>
      <c r="V4" s="318"/>
      <c r="W4" s="318"/>
      <c r="X4" s="318"/>
      <c r="Y4" s="318"/>
      <c r="Z4" s="318"/>
      <c r="AA4" s="318"/>
    </row>
    <row r="5" spans="7:28">
      <c r="G5" s="307"/>
      <c r="H5" s="307"/>
      <c r="I5" s="307"/>
      <c r="J5" s="307"/>
      <c r="N5" s="316"/>
      <c r="O5" s="316"/>
      <c r="P5" s="316"/>
      <c r="U5" s="307"/>
      <c r="V5" s="307"/>
      <c r="W5" s="307"/>
      <c r="AB5" s="317"/>
    </row>
    <row r="6" spans="2:28">
      <c r="B6" s="80" t="s">
        <v>1010</v>
      </c>
      <c r="G6" s="308"/>
      <c r="H6" s="308"/>
      <c r="I6" s="307"/>
      <c r="J6" s="307"/>
      <c r="O6" s="316"/>
      <c r="V6" s="307"/>
      <c r="W6" s="307"/>
      <c r="AB6" s="317"/>
    </row>
    <row r="7" ht="25.5" spans="2:28">
      <c r="B7" s="309" t="s">
        <v>200</v>
      </c>
      <c r="C7" s="309" t="s">
        <v>1011</v>
      </c>
      <c r="D7" s="309" t="s">
        <v>496</v>
      </c>
      <c r="E7" s="309" t="s">
        <v>497</v>
      </c>
      <c r="F7" s="309" t="s">
        <v>498</v>
      </c>
      <c r="G7" s="310" t="s">
        <v>499</v>
      </c>
      <c r="H7" s="310" t="s">
        <v>170</v>
      </c>
      <c r="I7" s="307"/>
      <c r="J7" s="307"/>
      <c r="O7" s="316"/>
      <c r="U7" s="307"/>
      <c r="V7" s="307"/>
      <c r="W7" s="307"/>
      <c r="AB7" s="317"/>
    </row>
    <row r="8" spans="2:28">
      <c r="B8" s="311">
        <v>2024</v>
      </c>
      <c r="C8" s="312">
        <v>0</v>
      </c>
      <c r="D8" s="312">
        <v>0</v>
      </c>
      <c r="E8" s="312">
        <v>0</v>
      </c>
      <c r="F8" s="312">
        <v>0</v>
      </c>
      <c r="G8" s="312">
        <v>0</v>
      </c>
      <c r="H8" s="313">
        <f>+SUM(C8:G8)</f>
        <v>0</v>
      </c>
      <c r="I8" s="307"/>
      <c r="J8" s="307"/>
      <c r="N8" s="316"/>
      <c r="U8" s="307"/>
      <c r="V8" s="307"/>
      <c r="AB8" s="317"/>
    </row>
    <row r="9" spans="2:28">
      <c r="B9" s="311">
        <v>2025</v>
      </c>
      <c r="C9" s="312">
        <v>0</v>
      </c>
      <c r="D9" s="312">
        <v>0</v>
      </c>
      <c r="E9" s="312">
        <v>0</v>
      </c>
      <c r="F9" s="312">
        <v>0</v>
      </c>
      <c r="G9" s="312">
        <v>0</v>
      </c>
      <c r="H9" s="313">
        <f t="shared" ref="H9:H47" si="0">+SUM(C9:G9)</f>
        <v>0</v>
      </c>
      <c r="I9" s="307"/>
      <c r="J9" s="307"/>
      <c r="Q9" s="316"/>
      <c r="AB9" s="317"/>
    </row>
    <row r="10" spans="2:28">
      <c r="B10" s="311">
        <v>2026</v>
      </c>
      <c r="C10" s="312">
        <v>0</v>
      </c>
      <c r="D10" s="312">
        <v>0</v>
      </c>
      <c r="E10" s="312">
        <v>0</v>
      </c>
      <c r="F10" s="312">
        <v>0</v>
      </c>
      <c r="G10" s="314">
        <v>0</v>
      </c>
      <c r="H10" s="313">
        <f t="shared" si="0"/>
        <v>0</v>
      </c>
      <c r="I10" s="307"/>
      <c r="J10" s="307"/>
      <c r="Q10" s="316"/>
      <c r="AB10" s="317"/>
    </row>
    <row r="11" spans="2:28">
      <c r="B11" s="311">
        <v>2027</v>
      </c>
      <c r="C11" s="312">
        <v>0</v>
      </c>
      <c r="D11" s="312" t="s">
        <v>484</v>
      </c>
      <c r="E11" s="312" t="s">
        <v>484</v>
      </c>
      <c r="F11" s="312" t="s">
        <v>484</v>
      </c>
      <c r="G11" s="312" t="s">
        <v>484</v>
      </c>
      <c r="H11" s="313">
        <f t="shared" si="0"/>
        <v>0</v>
      </c>
      <c r="I11" s="307"/>
      <c r="J11" s="307"/>
      <c r="Q11" s="316"/>
      <c r="AB11" s="317"/>
    </row>
    <row r="12" spans="2:28">
      <c r="B12" s="311">
        <v>2028</v>
      </c>
      <c r="C12" s="312">
        <v>0</v>
      </c>
      <c r="D12" s="312" t="s">
        <v>484</v>
      </c>
      <c r="E12" s="312" t="s">
        <v>484</v>
      </c>
      <c r="F12" s="312" t="s">
        <v>484</v>
      </c>
      <c r="G12" s="312" t="s">
        <v>484</v>
      </c>
      <c r="H12" s="313">
        <f t="shared" si="0"/>
        <v>0</v>
      </c>
      <c r="I12" s="307"/>
      <c r="J12" s="307"/>
      <c r="R12" s="316"/>
      <c r="AB12" s="317"/>
    </row>
    <row r="13" spans="2:28">
      <c r="B13" s="311">
        <v>2029</v>
      </c>
      <c r="C13" s="312">
        <v>0</v>
      </c>
      <c r="D13" s="312" t="s">
        <v>484</v>
      </c>
      <c r="E13" s="312" t="s">
        <v>484</v>
      </c>
      <c r="F13" s="312" t="s">
        <v>484</v>
      </c>
      <c r="G13" s="312" t="s">
        <v>484</v>
      </c>
      <c r="H13" s="313">
        <f t="shared" si="0"/>
        <v>0</v>
      </c>
      <c r="I13" s="307"/>
      <c r="J13" s="307"/>
      <c r="N13" s="316"/>
      <c r="U13" s="316"/>
      <c r="AB13" s="317"/>
    </row>
    <row r="14" spans="2:28">
      <c r="B14" s="311">
        <v>2030</v>
      </c>
      <c r="C14" s="312">
        <v>0</v>
      </c>
      <c r="D14" s="312">
        <v>0</v>
      </c>
      <c r="E14" s="312" t="s">
        <v>484</v>
      </c>
      <c r="F14" s="312" t="s">
        <v>484</v>
      </c>
      <c r="G14" s="312" t="s">
        <v>484</v>
      </c>
      <c r="H14" s="313">
        <f t="shared" si="0"/>
        <v>0</v>
      </c>
      <c r="I14" s="307"/>
      <c r="J14" s="307"/>
      <c r="L14" s="307"/>
      <c r="Q14" s="307"/>
      <c r="V14" s="307"/>
      <c r="AB14" s="317"/>
    </row>
    <row r="15" spans="2:28">
      <c r="B15" s="311">
        <v>2031</v>
      </c>
      <c r="C15" s="312">
        <v>0</v>
      </c>
      <c r="D15" s="312">
        <v>0</v>
      </c>
      <c r="E15" s="312">
        <v>0</v>
      </c>
      <c r="F15" s="312" t="s">
        <v>484</v>
      </c>
      <c r="G15" s="312" t="s">
        <v>484</v>
      </c>
      <c r="H15" s="313">
        <f t="shared" si="0"/>
        <v>0</v>
      </c>
      <c r="I15" s="307"/>
      <c r="J15" s="307"/>
      <c r="L15" s="307"/>
      <c r="Q15" s="307"/>
      <c r="V15" s="307"/>
      <c r="AB15" s="317"/>
    </row>
    <row r="16" spans="2:28">
      <c r="B16" s="311">
        <v>2032</v>
      </c>
      <c r="C16" s="312">
        <v>0</v>
      </c>
      <c r="D16" s="312">
        <v>1750000</v>
      </c>
      <c r="E16" s="312">
        <v>0</v>
      </c>
      <c r="F16" s="312">
        <v>0</v>
      </c>
      <c r="G16" s="312" t="s">
        <v>484</v>
      </c>
      <c r="H16" s="313">
        <f t="shared" si="0"/>
        <v>1750000</v>
      </c>
      <c r="I16" s="307"/>
      <c r="J16" s="307"/>
      <c r="R16" s="307"/>
      <c r="AB16" s="317"/>
    </row>
    <row r="17" spans="2:28">
      <c r="B17" s="311">
        <v>2033</v>
      </c>
      <c r="C17" s="312">
        <v>0</v>
      </c>
      <c r="D17" s="312" t="s">
        <v>484</v>
      </c>
      <c r="E17" s="312">
        <v>32378260</v>
      </c>
      <c r="F17" s="312" t="s">
        <v>484</v>
      </c>
      <c r="G17" s="312" t="s">
        <v>484</v>
      </c>
      <c r="H17" s="313">
        <f t="shared" si="0"/>
        <v>32378260</v>
      </c>
      <c r="I17" s="307"/>
      <c r="J17" s="307"/>
      <c r="Q17" s="307"/>
      <c r="AB17" s="317"/>
    </row>
    <row r="18" spans="2:28">
      <c r="B18" s="311">
        <v>2034</v>
      </c>
      <c r="C18" s="312">
        <v>0</v>
      </c>
      <c r="D18" s="312">
        <v>14000000</v>
      </c>
      <c r="E18" s="312" t="s">
        <v>484</v>
      </c>
      <c r="F18" s="312">
        <v>111491485</v>
      </c>
      <c r="G18" s="312" t="s">
        <v>484</v>
      </c>
      <c r="H18" s="313">
        <f t="shared" si="0"/>
        <v>125491485</v>
      </c>
      <c r="I18" s="307"/>
      <c r="J18" s="307"/>
      <c r="O18" s="307"/>
      <c r="W18" s="307"/>
      <c r="AB18" s="317"/>
    </row>
    <row r="19" spans="2:28">
      <c r="B19" s="311">
        <v>2035</v>
      </c>
      <c r="C19" s="312">
        <v>0</v>
      </c>
      <c r="D19" s="312" t="s">
        <v>484</v>
      </c>
      <c r="E19" s="312" t="s">
        <v>484</v>
      </c>
      <c r="F19" s="312" t="s">
        <v>484</v>
      </c>
      <c r="G19" s="312" t="s">
        <v>484</v>
      </c>
      <c r="H19" s="313">
        <f t="shared" si="0"/>
        <v>0</v>
      </c>
      <c r="I19" s="307"/>
      <c r="J19" s="307"/>
      <c r="Q19" s="307"/>
      <c r="AB19" s="317"/>
    </row>
    <row r="20" spans="2:28">
      <c r="B20" s="311">
        <v>2036</v>
      </c>
      <c r="C20" s="312">
        <v>0</v>
      </c>
      <c r="D20" s="312" t="s">
        <v>484</v>
      </c>
      <c r="E20" s="312" t="s">
        <v>484</v>
      </c>
      <c r="F20" s="312" t="s">
        <v>484</v>
      </c>
      <c r="G20" s="312" t="s">
        <v>484</v>
      </c>
      <c r="H20" s="313">
        <f t="shared" si="0"/>
        <v>0</v>
      </c>
      <c r="I20" s="307"/>
      <c r="J20" s="307"/>
      <c r="R20" s="307"/>
      <c r="AB20" s="317"/>
    </row>
    <row r="21" spans="2:28">
      <c r="B21" s="311">
        <v>2037</v>
      </c>
      <c r="C21" s="312">
        <v>0</v>
      </c>
      <c r="D21" s="312">
        <v>49394500</v>
      </c>
      <c r="E21" s="312" t="s">
        <v>484</v>
      </c>
      <c r="F21" s="312" t="s">
        <v>484</v>
      </c>
      <c r="G21" s="312" t="s">
        <v>484</v>
      </c>
      <c r="H21" s="313">
        <f t="shared" si="0"/>
        <v>49394500</v>
      </c>
      <c r="I21" s="307"/>
      <c r="J21" s="307"/>
      <c r="R21" s="307"/>
      <c r="AB21" s="317"/>
    </row>
    <row r="22" spans="2:28">
      <c r="B22" s="311">
        <v>2038</v>
      </c>
      <c r="C22" s="312">
        <v>0</v>
      </c>
      <c r="D22" s="312" t="s">
        <v>484</v>
      </c>
      <c r="E22" s="312" t="s">
        <v>484</v>
      </c>
      <c r="F22" s="312" t="s">
        <v>484</v>
      </c>
      <c r="G22" s="312" t="s">
        <v>484</v>
      </c>
      <c r="H22" s="313">
        <f t="shared" si="0"/>
        <v>0</v>
      </c>
      <c r="I22" s="307"/>
      <c r="J22" s="307"/>
      <c r="Q22" s="307"/>
      <c r="R22" s="307"/>
      <c r="AB22" s="317"/>
    </row>
    <row r="23" spans="2:28">
      <c r="B23" s="311">
        <v>2039</v>
      </c>
      <c r="C23" s="312">
        <v>0</v>
      </c>
      <c r="D23" s="312" t="s">
        <v>484</v>
      </c>
      <c r="E23" s="312" t="s">
        <v>484</v>
      </c>
      <c r="F23" s="312" t="s">
        <v>484</v>
      </c>
      <c r="G23" s="312" t="s">
        <v>484</v>
      </c>
      <c r="H23" s="313">
        <f t="shared" si="0"/>
        <v>0</v>
      </c>
      <c r="I23" s="307"/>
      <c r="J23" s="307"/>
      <c r="Q23" s="307"/>
      <c r="R23" s="307"/>
      <c r="AB23" s="317"/>
    </row>
    <row r="24" spans="2:28">
      <c r="B24" s="311">
        <v>2040</v>
      </c>
      <c r="C24" s="312">
        <v>0</v>
      </c>
      <c r="D24" s="312" t="s">
        <v>484</v>
      </c>
      <c r="E24" s="312">
        <v>1750000</v>
      </c>
      <c r="F24" s="312" t="s">
        <v>484</v>
      </c>
      <c r="G24" s="312" t="s">
        <v>484</v>
      </c>
      <c r="H24" s="313">
        <f t="shared" si="0"/>
        <v>1750000</v>
      </c>
      <c r="I24" s="307"/>
      <c r="J24" s="307"/>
      <c r="Q24" s="307"/>
      <c r="R24" s="307"/>
      <c r="AB24" s="317"/>
    </row>
    <row r="25" spans="2:28">
      <c r="B25" s="311">
        <v>2041</v>
      </c>
      <c r="C25" s="312">
        <v>0</v>
      </c>
      <c r="D25" s="312" t="s">
        <v>484</v>
      </c>
      <c r="E25" s="312" t="s">
        <v>484</v>
      </c>
      <c r="F25" s="312">
        <v>227685146</v>
      </c>
      <c r="G25" s="312" t="s">
        <v>484</v>
      </c>
      <c r="H25" s="313">
        <f t="shared" si="0"/>
        <v>227685146</v>
      </c>
      <c r="I25" s="307"/>
      <c r="J25" s="307"/>
      <c r="Q25" s="307"/>
      <c r="R25" s="307"/>
      <c r="AB25" s="317"/>
    </row>
    <row r="26" spans="2:28">
      <c r="B26" s="311">
        <v>2042</v>
      </c>
      <c r="C26" s="312">
        <v>0</v>
      </c>
      <c r="D26" s="312">
        <v>15750000</v>
      </c>
      <c r="E26" s="312" t="s">
        <v>484</v>
      </c>
      <c r="F26" s="312" t="s">
        <v>484</v>
      </c>
      <c r="G26" s="312" t="s">
        <v>484</v>
      </c>
      <c r="H26" s="313">
        <f t="shared" si="0"/>
        <v>15750000</v>
      </c>
      <c r="I26" s="316"/>
      <c r="J26" s="316"/>
      <c r="P26" s="316"/>
      <c r="AB26" s="317"/>
    </row>
    <row r="27" spans="2:28">
      <c r="B27" s="311">
        <v>2043</v>
      </c>
      <c r="C27" s="312">
        <v>0</v>
      </c>
      <c r="D27" s="312" t="s">
        <v>484</v>
      </c>
      <c r="E27" s="312" t="s">
        <v>484</v>
      </c>
      <c r="F27" s="312" t="s">
        <v>484</v>
      </c>
      <c r="G27" s="312" t="s">
        <v>484</v>
      </c>
      <c r="H27" s="313">
        <f t="shared" si="0"/>
        <v>0</v>
      </c>
      <c r="I27" s="316"/>
      <c r="J27" s="316"/>
      <c r="P27" s="316"/>
      <c r="AB27" s="317"/>
    </row>
    <row r="28" spans="2:28">
      <c r="B28" s="311">
        <v>2044</v>
      </c>
      <c r="C28" s="312">
        <v>0</v>
      </c>
      <c r="D28" s="312" t="s">
        <v>484</v>
      </c>
      <c r="E28" s="312" t="s">
        <v>484</v>
      </c>
      <c r="F28" s="312" t="s">
        <v>484</v>
      </c>
      <c r="G28" s="312" t="s">
        <v>484</v>
      </c>
      <c r="H28" s="313">
        <f t="shared" si="0"/>
        <v>0</v>
      </c>
      <c r="I28" s="316"/>
      <c r="J28" s="316"/>
      <c r="P28" s="316"/>
      <c r="Q28" s="316"/>
      <c r="AB28" s="317"/>
    </row>
    <row r="29" spans="2:28">
      <c r="B29" s="311">
        <v>2045</v>
      </c>
      <c r="C29" s="312">
        <v>0</v>
      </c>
      <c r="D29" s="312" t="s">
        <v>484</v>
      </c>
      <c r="E29" s="312" t="s">
        <v>484</v>
      </c>
      <c r="F29" s="312" t="s">
        <v>484</v>
      </c>
      <c r="G29" s="312" t="s">
        <v>484</v>
      </c>
      <c r="H29" s="313">
        <f t="shared" si="0"/>
        <v>0</v>
      </c>
      <c r="I29" s="316"/>
      <c r="J29" s="316"/>
      <c r="N29" s="316"/>
      <c r="U29" s="316"/>
      <c r="AB29" s="317"/>
    </row>
    <row r="30" spans="2:28">
      <c r="B30" s="311">
        <v>2046</v>
      </c>
      <c r="C30" s="312">
        <v>0</v>
      </c>
      <c r="D30" s="312" t="s">
        <v>484</v>
      </c>
      <c r="E30" s="312" t="s">
        <v>484</v>
      </c>
      <c r="F30" s="312">
        <v>188740447</v>
      </c>
      <c r="G30" s="312" t="s">
        <v>484</v>
      </c>
      <c r="H30" s="313">
        <f t="shared" si="0"/>
        <v>188740447</v>
      </c>
      <c r="I30" s="316"/>
      <c r="J30" s="316"/>
      <c r="N30" s="307"/>
      <c r="Q30" s="316"/>
      <c r="U30" s="307"/>
      <c r="AB30" s="317"/>
    </row>
    <row r="31" spans="2:28">
      <c r="B31" s="311">
        <v>2047</v>
      </c>
      <c r="C31" s="312">
        <v>0</v>
      </c>
      <c r="D31" s="312">
        <v>49394500</v>
      </c>
      <c r="E31" s="312" t="s">
        <v>484</v>
      </c>
      <c r="F31" s="312" t="s">
        <v>484</v>
      </c>
      <c r="G31" s="312" t="s">
        <v>484</v>
      </c>
      <c r="H31" s="313">
        <f t="shared" si="0"/>
        <v>49394500</v>
      </c>
      <c r="I31" s="316"/>
      <c r="J31" s="316"/>
      <c r="N31" s="307"/>
      <c r="P31" s="316"/>
      <c r="U31" s="307"/>
      <c r="AB31" s="317"/>
    </row>
    <row r="32" spans="2:28">
      <c r="B32" s="311">
        <v>2048</v>
      </c>
      <c r="C32" s="312">
        <v>0</v>
      </c>
      <c r="D32" s="312" t="s">
        <v>484</v>
      </c>
      <c r="E32" s="312">
        <v>1750000</v>
      </c>
      <c r="F32" s="312" t="s">
        <v>484</v>
      </c>
      <c r="G32" s="312" t="s">
        <v>484</v>
      </c>
      <c r="H32" s="313">
        <f t="shared" si="0"/>
        <v>1750000</v>
      </c>
      <c r="I32" s="316"/>
      <c r="J32" s="316"/>
      <c r="M32" s="316"/>
      <c r="S32" s="316"/>
      <c r="AB32" s="317"/>
    </row>
    <row r="33" spans="2:28">
      <c r="B33" s="311">
        <v>2049</v>
      </c>
      <c r="C33" s="312">
        <v>0</v>
      </c>
      <c r="D33" s="312" t="s">
        <v>484</v>
      </c>
      <c r="E33" s="312" t="s">
        <v>484</v>
      </c>
      <c r="F33" s="312" t="s">
        <v>484</v>
      </c>
      <c r="G33" s="312" t="s">
        <v>484</v>
      </c>
      <c r="H33" s="313">
        <f t="shared" si="0"/>
        <v>0</v>
      </c>
      <c r="J33" s="316"/>
      <c r="Q33" s="316"/>
      <c r="AB33" s="317"/>
    </row>
    <row r="34" spans="2:28">
      <c r="B34" s="311">
        <v>2050</v>
      </c>
      <c r="C34" s="312">
        <v>0</v>
      </c>
      <c r="D34" s="312">
        <v>14000000</v>
      </c>
      <c r="E34" s="312" t="s">
        <v>484</v>
      </c>
      <c r="F34" s="312" t="s">
        <v>484</v>
      </c>
      <c r="G34" s="312" t="s">
        <v>484</v>
      </c>
      <c r="H34" s="313">
        <f t="shared" si="0"/>
        <v>14000000</v>
      </c>
      <c r="I34" s="307"/>
      <c r="J34" s="307"/>
      <c r="K34" s="307"/>
      <c r="L34" s="307"/>
      <c r="M34" s="307"/>
      <c r="N34" s="307"/>
      <c r="O34" s="307"/>
      <c r="P34" s="307"/>
      <c r="Q34" s="307"/>
      <c r="R34" s="307"/>
      <c r="S34" s="307"/>
      <c r="T34" s="307"/>
      <c r="U34" s="307"/>
      <c r="V34" s="307"/>
      <c r="W34" s="307"/>
      <c r="X34" s="307"/>
      <c r="Y34" s="307"/>
      <c r="Z34" s="307"/>
      <c r="AA34" s="307"/>
      <c r="AB34" s="317"/>
    </row>
    <row r="35" spans="2:28">
      <c r="B35" s="315">
        <v>2051</v>
      </c>
      <c r="C35" s="312">
        <v>0</v>
      </c>
      <c r="D35" s="313" t="s">
        <v>484</v>
      </c>
      <c r="E35" s="313" t="s">
        <v>484</v>
      </c>
      <c r="F35" s="313" t="s">
        <v>484</v>
      </c>
      <c r="G35" s="313" t="s">
        <v>484</v>
      </c>
      <c r="H35" s="313">
        <f t="shared" si="0"/>
        <v>0</v>
      </c>
      <c r="I35" s="317"/>
      <c r="J35" s="317"/>
      <c r="K35" s="317"/>
      <c r="L35" s="317"/>
      <c r="M35" s="317"/>
      <c r="N35" s="317"/>
      <c r="O35" s="317"/>
      <c r="P35" s="317"/>
      <c r="Q35" s="317"/>
      <c r="R35" s="317"/>
      <c r="S35" s="317"/>
      <c r="T35" s="317"/>
      <c r="U35" s="317"/>
      <c r="V35" s="317"/>
      <c r="W35" s="317"/>
      <c r="X35" s="317"/>
      <c r="Y35" s="317"/>
      <c r="Z35" s="317"/>
      <c r="AA35" s="317"/>
      <c r="AB35" s="317"/>
    </row>
    <row r="36" spans="2:8">
      <c r="B36" s="311">
        <v>2052</v>
      </c>
      <c r="C36" s="312">
        <v>0</v>
      </c>
      <c r="D36" s="312">
        <v>1750000</v>
      </c>
      <c r="E36" s="312" t="s">
        <v>484</v>
      </c>
      <c r="F36" s="312" t="s">
        <v>484</v>
      </c>
      <c r="G36" s="312" t="s">
        <v>484</v>
      </c>
      <c r="H36" s="313">
        <f t="shared" si="0"/>
        <v>1750000</v>
      </c>
    </row>
    <row r="37" spans="2:8">
      <c r="B37" s="311">
        <v>2053</v>
      </c>
      <c r="C37" s="312">
        <v>0</v>
      </c>
      <c r="D37" s="312" t="s">
        <v>484</v>
      </c>
      <c r="E37" s="312" t="s">
        <v>484</v>
      </c>
      <c r="F37" s="312" t="s">
        <v>484</v>
      </c>
      <c r="G37" s="312" t="s">
        <v>484</v>
      </c>
      <c r="H37" s="313">
        <f t="shared" si="0"/>
        <v>0</v>
      </c>
    </row>
    <row r="38" spans="2:8">
      <c r="B38" s="311">
        <v>2054</v>
      </c>
      <c r="C38" s="312">
        <v>0</v>
      </c>
      <c r="D38" s="312" t="s">
        <v>484</v>
      </c>
      <c r="E38" s="312" t="s">
        <v>484</v>
      </c>
      <c r="F38" s="312">
        <v>163247831</v>
      </c>
      <c r="G38" s="312" t="s">
        <v>484</v>
      </c>
      <c r="H38" s="313">
        <f t="shared" si="0"/>
        <v>163247831</v>
      </c>
    </row>
    <row r="39" spans="2:8">
      <c r="B39" s="311">
        <v>2055</v>
      </c>
      <c r="C39" s="312">
        <v>0</v>
      </c>
      <c r="D39" s="312" t="s">
        <v>484</v>
      </c>
      <c r="E39" s="312" t="s">
        <v>484</v>
      </c>
      <c r="F39" s="312" t="s">
        <v>484</v>
      </c>
      <c r="G39" s="312" t="s">
        <v>484</v>
      </c>
      <c r="H39" s="313">
        <f t="shared" si="0"/>
        <v>0</v>
      </c>
    </row>
    <row r="40" spans="2:8">
      <c r="B40" s="311">
        <v>2056</v>
      </c>
      <c r="C40" s="312">
        <v>0</v>
      </c>
      <c r="D40" s="312" t="s">
        <v>484</v>
      </c>
      <c r="E40" s="312">
        <v>1750000</v>
      </c>
      <c r="F40" s="312" t="s">
        <v>484</v>
      </c>
      <c r="G40" s="312" t="s">
        <v>484</v>
      </c>
      <c r="H40" s="313">
        <f t="shared" si="0"/>
        <v>1750000</v>
      </c>
    </row>
    <row r="41" spans="2:8">
      <c r="B41" s="311">
        <v>2057</v>
      </c>
      <c r="C41" s="312">
        <v>0</v>
      </c>
      <c r="D41" s="312">
        <v>49394500</v>
      </c>
      <c r="E41" s="312" t="s">
        <v>484</v>
      </c>
      <c r="F41" s="312" t="s">
        <v>484</v>
      </c>
      <c r="G41" s="312" t="s">
        <v>484</v>
      </c>
      <c r="H41" s="313">
        <f t="shared" si="0"/>
        <v>49394500</v>
      </c>
    </row>
    <row r="42" spans="2:8">
      <c r="B42" s="311">
        <v>2058</v>
      </c>
      <c r="C42" s="312">
        <v>0</v>
      </c>
      <c r="D42" s="312">
        <v>14000000</v>
      </c>
      <c r="E42" s="312" t="s">
        <v>484</v>
      </c>
      <c r="F42" s="312" t="s">
        <v>484</v>
      </c>
      <c r="G42" s="312" t="s">
        <v>484</v>
      </c>
      <c r="H42" s="313">
        <f t="shared" si="0"/>
        <v>14000000</v>
      </c>
    </row>
    <row r="43" spans="2:8">
      <c r="B43" s="311">
        <v>2059</v>
      </c>
      <c r="C43" s="312">
        <v>0</v>
      </c>
      <c r="D43" s="312" t="s">
        <v>484</v>
      </c>
      <c r="E43" s="312" t="s">
        <v>484</v>
      </c>
      <c r="F43" s="312" t="s">
        <v>484</v>
      </c>
      <c r="G43" s="312" t="s">
        <v>484</v>
      </c>
      <c r="H43" s="313">
        <f t="shared" si="0"/>
        <v>0</v>
      </c>
    </row>
    <row r="44" spans="2:8">
      <c r="B44" s="311">
        <v>2060</v>
      </c>
      <c r="C44" s="312">
        <v>0</v>
      </c>
      <c r="D44" s="312" t="s">
        <v>484</v>
      </c>
      <c r="E44" s="312" t="s">
        <v>484</v>
      </c>
      <c r="F44" s="312" t="s">
        <v>484</v>
      </c>
      <c r="G44" s="312" t="s">
        <v>484</v>
      </c>
      <c r="H44" s="313">
        <f t="shared" si="0"/>
        <v>0</v>
      </c>
    </row>
    <row r="45" spans="2:8">
      <c r="B45" s="311">
        <v>2061</v>
      </c>
      <c r="C45" s="312">
        <v>0</v>
      </c>
      <c r="D45" s="312">
        <v>0</v>
      </c>
      <c r="E45" s="312" t="s">
        <v>484</v>
      </c>
      <c r="F45" s="312" t="s">
        <v>484</v>
      </c>
      <c r="G45" s="312" t="s">
        <v>484</v>
      </c>
      <c r="H45" s="313">
        <f t="shared" si="0"/>
        <v>0</v>
      </c>
    </row>
    <row r="46" spans="2:8">
      <c r="B46" s="311">
        <v>2062</v>
      </c>
      <c r="C46" s="312">
        <v>0</v>
      </c>
      <c r="D46" s="312">
        <v>1750000</v>
      </c>
      <c r="E46" s="312" t="s">
        <v>484</v>
      </c>
      <c r="F46" s="312" t="s">
        <v>484</v>
      </c>
      <c r="G46" s="312" t="s">
        <v>484</v>
      </c>
      <c r="H46" s="313">
        <f t="shared" si="0"/>
        <v>1750000</v>
      </c>
    </row>
    <row r="47" spans="2:8">
      <c r="B47" s="311">
        <v>2063</v>
      </c>
      <c r="C47" s="312">
        <v>0</v>
      </c>
      <c r="D47" s="312" t="s">
        <v>484</v>
      </c>
      <c r="E47" s="312" t="s">
        <v>484</v>
      </c>
      <c r="F47" s="312" t="s">
        <v>484</v>
      </c>
      <c r="G47" s="312" t="s">
        <v>484</v>
      </c>
      <c r="H47" s="313">
        <f t="shared" si="0"/>
        <v>0</v>
      </c>
    </row>
    <row r="48" spans="2:2">
      <c r="B48" s="80" t="s">
        <v>8</v>
      </c>
    </row>
  </sheetData>
  <mergeCells count="2">
    <mergeCell ref="B2:O2"/>
    <mergeCell ref="B4:R4"/>
  </mergeCells>
  <pageMargins left="0.7" right="0.7" top="0.75" bottom="0.75" header="0.3" footer="0.3"/>
  <headerFooter/>
  <ignoredErrors>
    <ignoredError sqref="H9:H10 H8" formulaRange="1"/>
  </ignoredError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499984740745262"/>
  </sheetPr>
  <dimension ref="B2:AI200"/>
  <sheetViews>
    <sheetView zoomScale="80" zoomScaleNormal="80" topLeftCell="J1" workbookViewId="0">
      <selection activeCell="J43" sqref="J43:K43"/>
    </sheetView>
  </sheetViews>
  <sheetFormatPr defaultColWidth="10.8857142857143" defaultRowHeight="15"/>
  <cols>
    <col min="1" max="1" width="3.1047619047619" customWidth="1"/>
    <col min="2" max="2" width="38.1047619047619" customWidth="1"/>
    <col min="4" max="4" width="15.6666666666667" customWidth="1"/>
    <col min="5" max="5" width="14.552380952381" customWidth="1"/>
    <col min="6" max="6" width="17.4380952380952" customWidth="1"/>
    <col min="7" max="7" width="11.552380952381" customWidth="1"/>
    <col min="8" max="8" width="11.1047619047619" customWidth="1"/>
    <col min="9" max="9" width="32.6666666666667" customWidth="1"/>
    <col min="11" max="11" width="12.552380952381" customWidth="1"/>
    <col min="12" max="12" width="12.4380952380952" customWidth="1"/>
    <col min="13" max="13" width="11.3333333333333" customWidth="1"/>
    <col min="14" max="14" width="8.43809523809524" customWidth="1"/>
    <col min="15" max="15" width="14.1047619047619" customWidth="1"/>
    <col min="16" max="16" width="13.1047619047619" customWidth="1"/>
    <col min="17" max="17" width="14.1047619047619" customWidth="1"/>
    <col min="18" max="18" width="13.4380952380952" customWidth="1"/>
    <col min="19" max="23" width="14.552380952381" customWidth="1"/>
    <col min="24" max="24" width="20.8857142857143" customWidth="1"/>
    <col min="26" max="26" width="11.4380952380952" customWidth="1"/>
    <col min="35" max="35" width="15.6666666666667" customWidth="1"/>
  </cols>
  <sheetData>
    <row r="2" ht="21" customHeight="1" spans="2:16">
      <c r="B2" s="2" t="s">
        <v>0</v>
      </c>
      <c r="C2" s="2"/>
      <c r="D2" s="2"/>
      <c r="E2" s="2"/>
      <c r="F2" s="2"/>
      <c r="G2" s="2"/>
      <c r="H2" s="2"/>
      <c r="I2" s="2"/>
      <c r="J2" s="2"/>
      <c r="K2" s="2"/>
      <c r="L2" s="2"/>
      <c r="M2" s="2"/>
      <c r="N2" s="2"/>
      <c r="O2" s="2"/>
      <c r="P2" s="2"/>
    </row>
    <row r="3" ht="21" spans="2:13">
      <c r="B3" s="179"/>
      <c r="C3" s="179"/>
      <c r="D3" s="179"/>
      <c r="E3" s="179"/>
      <c r="F3" s="179"/>
      <c r="G3" s="179"/>
      <c r="H3" s="179"/>
      <c r="I3" s="179"/>
      <c r="J3" s="179"/>
      <c r="K3" s="179"/>
      <c r="L3" s="179"/>
      <c r="M3" s="179"/>
    </row>
    <row r="4" spans="2:20">
      <c r="B4" s="6" t="s">
        <v>1012</v>
      </c>
      <c r="C4" s="6"/>
      <c r="D4" s="6"/>
      <c r="E4" s="6"/>
      <c r="F4" s="6"/>
      <c r="G4" s="6"/>
      <c r="H4" s="6"/>
      <c r="I4" s="6"/>
      <c r="J4" s="6"/>
      <c r="K4" s="6"/>
      <c r="L4" s="6"/>
      <c r="M4" s="6"/>
      <c r="N4" s="6"/>
      <c r="O4" s="6"/>
      <c r="P4" s="6"/>
      <c r="Q4" s="242"/>
      <c r="R4" s="242"/>
      <c r="S4" s="242"/>
      <c r="T4" s="242"/>
    </row>
    <row r="6" spans="2:20">
      <c r="B6" t="s">
        <v>513</v>
      </c>
      <c r="I6" t="s">
        <v>514</v>
      </c>
      <c r="M6" s="220" t="s">
        <v>1013</v>
      </c>
      <c r="N6" t="s">
        <v>515</v>
      </c>
      <c r="S6" s="80" t="s">
        <v>1014</v>
      </c>
      <c r="T6" s="243">
        <f>+'I.1 Proyecciones Población'!E21</f>
        <v>1.03386492714148</v>
      </c>
    </row>
    <row r="7" ht="16.5" customHeight="1" spans="2:24">
      <c r="B7" s="180" t="s">
        <v>10</v>
      </c>
      <c r="C7" s="181" t="s">
        <v>11</v>
      </c>
      <c r="D7" s="182" t="s">
        <v>12</v>
      </c>
      <c r="E7" s="181" t="s">
        <v>493</v>
      </c>
      <c r="F7" s="181" t="s">
        <v>516</v>
      </c>
      <c r="G7" s="183"/>
      <c r="I7" s="180" t="s">
        <v>10</v>
      </c>
      <c r="J7" s="180" t="s">
        <v>517</v>
      </c>
      <c r="K7" s="180" t="s">
        <v>518</v>
      </c>
      <c r="M7" s="220"/>
      <c r="N7" s="182" t="s">
        <v>200</v>
      </c>
      <c r="O7" s="221" t="s">
        <v>1015</v>
      </c>
      <c r="P7" s="222"/>
      <c r="Q7" s="244" t="s">
        <v>496</v>
      </c>
      <c r="R7" s="245"/>
      <c r="S7" s="244" t="s">
        <v>520</v>
      </c>
      <c r="T7" s="245"/>
      <c r="U7" s="244" t="s">
        <v>497</v>
      </c>
      <c r="V7" s="245"/>
      <c r="W7" s="246" t="s">
        <v>521</v>
      </c>
      <c r="X7" s="247" t="s">
        <v>170</v>
      </c>
    </row>
    <row r="8" spans="2:24">
      <c r="B8" s="184" t="s">
        <v>522</v>
      </c>
      <c r="C8" s="185"/>
      <c r="D8" s="185"/>
      <c r="E8" s="185"/>
      <c r="F8" s="186"/>
      <c r="G8" s="183"/>
      <c r="I8" s="188" t="s">
        <v>523</v>
      </c>
      <c r="J8" s="223">
        <v>536575</v>
      </c>
      <c r="K8" s="190">
        <f>+J8*12</f>
        <v>6438900</v>
      </c>
      <c r="M8" s="220"/>
      <c r="N8" s="182"/>
      <c r="O8" s="181" t="s">
        <v>524</v>
      </c>
      <c r="P8" s="181" t="s">
        <v>525</v>
      </c>
      <c r="Q8" s="181" t="s">
        <v>524</v>
      </c>
      <c r="R8" s="181" t="s">
        <v>525</v>
      </c>
      <c r="S8" s="181" t="s">
        <v>524</v>
      </c>
      <c r="T8" s="181" t="s">
        <v>525</v>
      </c>
      <c r="U8" s="181" t="s">
        <v>524</v>
      </c>
      <c r="V8" s="181" t="s">
        <v>525</v>
      </c>
      <c r="W8" s="248"/>
      <c r="X8" s="249"/>
    </row>
    <row r="9" spans="2:26">
      <c r="B9" s="187" t="s">
        <v>526</v>
      </c>
      <c r="C9" s="188" t="s">
        <v>527</v>
      </c>
      <c r="D9" s="189">
        <v>1</v>
      </c>
      <c r="E9" s="190">
        <v>36250</v>
      </c>
      <c r="F9" s="190">
        <v>36250</v>
      </c>
      <c r="G9" s="183"/>
      <c r="I9" s="188" t="s">
        <v>528</v>
      </c>
      <c r="J9" s="223">
        <v>70250</v>
      </c>
      <c r="K9" s="190">
        <f t="shared" ref="K9:K14" si="0">+J9*12</f>
        <v>843000</v>
      </c>
      <c r="M9" s="224">
        <f>+'I.1 Proyecciones Población'!E22/$T$6</f>
        <v>1.01257856665667</v>
      </c>
      <c r="N9" s="189">
        <v>2024</v>
      </c>
      <c r="O9" s="225">
        <f>+(S11)*1.33</f>
        <v>28090881.3664211</v>
      </c>
      <c r="P9" s="225">
        <f>+(T11)*1.33</f>
        <v>25252655.1906063</v>
      </c>
      <c r="Q9" s="227">
        <v>0</v>
      </c>
      <c r="R9" s="227">
        <v>0</v>
      </c>
      <c r="S9" s="227">
        <v>0</v>
      </c>
      <c r="T9" s="227">
        <v>0</v>
      </c>
      <c r="U9" s="227">
        <v>0</v>
      </c>
      <c r="V9" s="227">
        <v>0</v>
      </c>
      <c r="W9" s="227">
        <v>0</v>
      </c>
      <c r="X9" s="190">
        <f>+SUM(O9:W9)</f>
        <v>53343536.5570275</v>
      </c>
      <c r="Z9" s="229"/>
    </row>
    <row r="10" ht="14.4" customHeight="1" spans="2:35">
      <c r="B10" s="187" t="s">
        <v>529</v>
      </c>
      <c r="C10" s="188" t="s">
        <v>527</v>
      </c>
      <c r="D10" s="189">
        <v>1</v>
      </c>
      <c r="E10" s="190">
        <v>26100</v>
      </c>
      <c r="F10" s="190">
        <v>26100</v>
      </c>
      <c r="G10" s="183"/>
      <c r="I10" s="188" t="s">
        <v>530</v>
      </c>
      <c r="J10" s="223">
        <f>+F48</f>
        <v>30755.2861166125</v>
      </c>
      <c r="K10" s="190">
        <f t="shared" si="0"/>
        <v>369063.43339935</v>
      </c>
      <c r="M10" s="224">
        <f>+'I.1 Proyecciones Población'!E23/$T$6</f>
        <v>1.02476077936186</v>
      </c>
      <c r="N10" s="189">
        <v>2025</v>
      </c>
      <c r="O10" s="226">
        <f>+O9</f>
        <v>28090881.3664211</v>
      </c>
      <c r="P10" s="226">
        <f>+P9</f>
        <v>25252655.1906063</v>
      </c>
      <c r="Q10" s="225">
        <v>0</v>
      </c>
      <c r="R10" s="223">
        <v>0</v>
      </c>
      <c r="S10" s="223">
        <v>0</v>
      </c>
      <c r="T10" s="250">
        <v>0</v>
      </c>
      <c r="U10" s="223">
        <v>0</v>
      </c>
      <c r="V10" s="223">
        <v>0</v>
      </c>
      <c r="W10" s="251">
        <v>0</v>
      </c>
      <c r="X10" s="190">
        <f>+SUM(O10:W10)</f>
        <v>53343536.5570275</v>
      </c>
      <c r="Z10" s="254"/>
      <c r="AA10" s="255"/>
      <c r="AB10" s="255"/>
      <c r="AC10" s="255"/>
      <c r="AD10" s="255"/>
      <c r="AE10" s="255"/>
      <c r="AF10" s="255"/>
      <c r="AG10" s="255"/>
      <c r="AI10" s="255"/>
    </row>
    <row r="11" spans="2:35">
      <c r="B11" s="187" t="s">
        <v>531</v>
      </c>
      <c r="C11" s="188" t="s">
        <v>527</v>
      </c>
      <c r="D11" s="189">
        <v>2</v>
      </c>
      <c r="E11" s="190">
        <v>18125</v>
      </c>
      <c r="F11" s="190">
        <v>36250</v>
      </c>
      <c r="G11" s="183"/>
      <c r="I11" s="188" t="s">
        <v>532</v>
      </c>
      <c r="J11" s="223">
        <v>12500</v>
      </c>
      <c r="K11" s="190">
        <f t="shared" si="0"/>
        <v>150000</v>
      </c>
      <c r="M11" s="224">
        <f>+'I.1 Proyecciones Población'!E24/$T$6</f>
        <v>1.03635088259486</v>
      </c>
      <c r="N11" s="189">
        <v>2026</v>
      </c>
      <c r="O11" s="227">
        <v>0</v>
      </c>
      <c r="P11" s="227">
        <v>0</v>
      </c>
      <c r="Q11" s="225">
        <f>+$K$30</f>
        <v>20318938.7428888</v>
      </c>
      <c r="R11" s="223">
        <f>+$K$31*M11</f>
        <v>20323380.5233421</v>
      </c>
      <c r="S11" s="223">
        <f>+$K$16</f>
        <v>21120963.4333993</v>
      </c>
      <c r="T11" s="223">
        <f>+$K$17*M11</f>
        <v>18986958.7899296</v>
      </c>
      <c r="U11" s="223">
        <f>+$K$44</f>
        <v>32281341.7009743</v>
      </c>
      <c r="V11" s="223">
        <f>+$K$45*M11</f>
        <v>36986292.2578052</v>
      </c>
      <c r="W11" s="251">
        <v>450000</v>
      </c>
      <c r="X11" s="190">
        <f>+SUM(O11:W11)</f>
        <v>150467875.448339</v>
      </c>
      <c r="AA11" s="255"/>
      <c r="AB11" s="255"/>
      <c r="AC11" s="255"/>
      <c r="AD11" s="255"/>
      <c r="AE11" s="255"/>
      <c r="AF11" s="255"/>
      <c r="AG11" s="255"/>
      <c r="AH11" s="255"/>
      <c r="AI11" s="255"/>
    </row>
    <row r="12" spans="2:35">
      <c r="B12" s="187" t="s">
        <v>533</v>
      </c>
      <c r="C12" s="188" t="s">
        <v>527</v>
      </c>
      <c r="D12" s="189">
        <v>4</v>
      </c>
      <c r="E12" s="190">
        <v>16500</v>
      </c>
      <c r="F12" s="190">
        <v>66000</v>
      </c>
      <c r="G12" s="183"/>
      <c r="I12" s="228" t="s">
        <v>534</v>
      </c>
      <c r="J12" s="229">
        <v>1110000</v>
      </c>
      <c r="K12" s="190">
        <f t="shared" si="0"/>
        <v>13320000</v>
      </c>
      <c r="M12" s="224">
        <f>+'I.1 Proyecciones Población'!E25/$T$6</f>
        <v>1.0472777620454</v>
      </c>
      <c r="N12" s="189">
        <v>2027</v>
      </c>
      <c r="O12" s="227">
        <v>0</v>
      </c>
      <c r="P12" s="227">
        <v>0</v>
      </c>
      <c r="Q12" s="225">
        <f t="shared" ref="Q12:Q48" si="1">+$K$30</f>
        <v>20318938.7428888</v>
      </c>
      <c r="R12" s="223">
        <f t="shared" ref="R12:R48" si="2">+$K$31*M12</f>
        <v>20537662.3199186</v>
      </c>
      <c r="S12" s="223">
        <f t="shared" ref="S12:S48" si="3">+$K$16</f>
        <v>21120963.4333993</v>
      </c>
      <c r="T12" s="223">
        <f t="shared" ref="T12:T48" si="4">+$K$17*M12</f>
        <v>19187149.8770549</v>
      </c>
      <c r="U12" s="223">
        <f t="shared" ref="U12:U48" si="5">+$K$44</f>
        <v>32281341.7009743</v>
      </c>
      <c r="V12" s="223">
        <f t="shared" ref="V12:V48" si="6">+$K$45*M12</f>
        <v>37376261.2959089</v>
      </c>
      <c r="W12" s="251">
        <v>450000</v>
      </c>
      <c r="X12" s="190">
        <f t="shared" ref="X12:X48" si="7">+SUM(Q12:W12)</f>
        <v>151272317.370145</v>
      </c>
      <c r="AA12" s="255"/>
      <c r="AB12" s="255"/>
      <c r="AC12" s="255"/>
      <c r="AD12" s="255"/>
      <c r="AE12" s="255"/>
      <c r="AF12" s="255"/>
      <c r="AG12" s="255"/>
      <c r="AH12" s="255"/>
      <c r="AI12" s="255"/>
    </row>
    <row r="13" spans="2:35">
      <c r="B13" s="187" t="s">
        <v>535</v>
      </c>
      <c r="C13" s="188" t="s">
        <v>527</v>
      </c>
      <c r="D13" s="189">
        <v>4</v>
      </c>
      <c r="E13" s="190">
        <v>14025</v>
      </c>
      <c r="F13" s="190">
        <v>56100</v>
      </c>
      <c r="G13" s="183"/>
      <c r="I13" s="188" t="s">
        <v>536</v>
      </c>
      <c r="J13" s="223">
        <v>1308620.68965517</v>
      </c>
      <c r="K13" s="190">
        <f t="shared" si="0"/>
        <v>15703448.2758621</v>
      </c>
      <c r="M13" s="224">
        <f>+'I.1 Proyecciones Población'!E26/$T$6</f>
        <v>1.05753428079345</v>
      </c>
      <c r="N13" s="189">
        <v>2028</v>
      </c>
      <c r="O13" s="227">
        <v>0</v>
      </c>
      <c r="P13" s="227">
        <v>0</v>
      </c>
      <c r="Q13" s="225">
        <f t="shared" si="1"/>
        <v>20318938.7428888</v>
      </c>
      <c r="R13" s="223">
        <f t="shared" si="2"/>
        <v>20738797.9940056</v>
      </c>
      <c r="S13" s="223">
        <f t="shared" si="3"/>
        <v>21120963.4333993</v>
      </c>
      <c r="T13" s="223">
        <f t="shared" si="4"/>
        <v>19375059.3023933</v>
      </c>
      <c r="U13" s="223">
        <f t="shared" si="5"/>
        <v>32281341.7009743</v>
      </c>
      <c r="V13" s="223">
        <f t="shared" si="6"/>
        <v>37742305.8531474</v>
      </c>
      <c r="W13" s="251">
        <v>450000</v>
      </c>
      <c r="X13" s="190">
        <f t="shared" si="7"/>
        <v>152027407.026809</v>
      </c>
      <c r="AA13" s="255"/>
      <c r="AB13" s="255"/>
      <c r="AC13" s="255"/>
      <c r="AD13" s="255"/>
      <c r="AE13" s="255"/>
      <c r="AF13" s="255"/>
      <c r="AG13" s="255"/>
      <c r="AH13" s="255"/>
      <c r="AI13" s="255"/>
    </row>
    <row r="14" spans="2:35">
      <c r="B14" s="187" t="s">
        <v>537</v>
      </c>
      <c r="C14" s="188" t="s">
        <v>527</v>
      </c>
      <c r="D14" s="189">
        <v>1</v>
      </c>
      <c r="E14" s="190">
        <v>18125</v>
      </c>
      <c r="F14" s="190">
        <v>18125</v>
      </c>
      <c r="G14" s="183"/>
      <c r="I14" s="188" t="s">
        <v>538</v>
      </c>
      <c r="J14" s="223">
        <v>218127.24137931</v>
      </c>
      <c r="K14" s="190">
        <f t="shared" si="0"/>
        <v>2617526.89655172</v>
      </c>
      <c r="M14" s="224">
        <f>+'I.1 Proyecciones Población'!E27/$T$6</f>
        <v>1.06717422062922</v>
      </c>
      <c r="N14" s="189">
        <v>2029</v>
      </c>
      <c r="O14" s="227">
        <v>0</v>
      </c>
      <c r="P14" s="227">
        <v>0</v>
      </c>
      <c r="Q14" s="225">
        <f t="shared" si="1"/>
        <v>20318938.7428888</v>
      </c>
      <c r="R14" s="223">
        <f t="shared" si="2"/>
        <v>20927842.2345179</v>
      </c>
      <c r="S14" s="223">
        <f t="shared" si="3"/>
        <v>21120963.4333993</v>
      </c>
      <c r="T14" s="223">
        <f t="shared" si="4"/>
        <v>19551672.4007879</v>
      </c>
      <c r="U14" s="223">
        <f t="shared" si="5"/>
        <v>32281341.7009743</v>
      </c>
      <c r="V14" s="223">
        <f t="shared" si="6"/>
        <v>38086345.3460462</v>
      </c>
      <c r="W14" s="251">
        <v>450000</v>
      </c>
      <c r="X14" s="190">
        <f t="shared" si="7"/>
        <v>152737103.858615</v>
      </c>
      <c r="AA14" s="255"/>
      <c r="AB14" s="255"/>
      <c r="AC14" s="255"/>
      <c r="AD14" s="255"/>
      <c r="AE14" s="255"/>
      <c r="AF14" s="255"/>
      <c r="AG14" s="255"/>
      <c r="AH14" s="255"/>
      <c r="AI14" s="255"/>
    </row>
    <row r="15" spans="2:35">
      <c r="B15" s="187" t="s">
        <v>539</v>
      </c>
      <c r="C15" s="188" t="s">
        <v>527</v>
      </c>
      <c r="D15" s="189">
        <v>2</v>
      </c>
      <c r="E15" s="190">
        <v>15675</v>
      </c>
      <c r="F15" s="190">
        <v>31350</v>
      </c>
      <c r="G15" s="183"/>
      <c r="I15" s="181" t="s">
        <v>170</v>
      </c>
      <c r="J15" s="230">
        <f>+SUM(J8:J14)</f>
        <v>3286828.2171511</v>
      </c>
      <c r="K15" s="230">
        <f>+SUM(K8:K14)</f>
        <v>39441938.6058131</v>
      </c>
      <c r="M15" s="224">
        <f>+'I.1 Proyecciones Población'!E28/$T$6</f>
        <v>1.07629367508305</v>
      </c>
      <c r="N15" s="189">
        <v>2030</v>
      </c>
      <c r="O15" s="227">
        <v>0</v>
      </c>
      <c r="P15" s="227">
        <v>0</v>
      </c>
      <c r="Q15" s="225">
        <f t="shared" si="1"/>
        <v>20318938.7428888</v>
      </c>
      <c r="R15" s="223">
        <f t="shared" si="2"/>
        <v>21106679.4856297</v>
      </c>
      <c r="S15" s="223">
        <f t="shared" si="3"/>
        <v>21120963.4333993</v>
      </c>
      <c r="T15" s="223">
        <f t="shared" si="4"/>
        <v>19718749.6994225</v>
      </c>
      <c r="U15" s="223">
        <f t="shared" si="5"/>
        <v>32281341.7009743</v>
      </c>
      <c r="V15" s="223">
        <f t="shared" si="6"/>
        <v>38411809.2534216</v>
      </c>
      <c r="W15" s="251">
        <v>450000</v>
      </c>
      <c r="X15" s="190">
        <f t="shared" si="7"/>
        <v>153408482.315736</v>
      </c>
      <c r="AA15" s="255"/>
      <c r="AB15" s="255"/>
      <c r="AC15" s="255"/>
      <c r="AD15" s="255"/>
      <c r="AE15" s="255"/>
      <c r="AF15" s="255"/>
      <c r="AG15" s="255"/>
      <c r="AH15" s="255"/>
      <c r="AI15" s="255"/>
    </row>
    <row r="16" spans="2:35">
      <c r="B16" s="187" t="s">
        <v>540</v>
      </c>
      <c r="C16" s="188" t="s">
        <v>527</v>
      </c>
      <c r="D16" s="189">
        <v>2</v>
      </c>
      <c r="E16" s="190">
        <v>11550</v>
      </c>
      <c r="F16" s="190">
        <v>23100</v>
      </c>
      <c r="G16" s="183"/>
      <c r="I16" t="s">
        <v>1016</v>
      </c>
      <c r="J16" s="231"/>
      <c r="K16" s="232">
        <f>+SUM(K8:K12)</f>
        <v>21120963.4333993</v>
      </c>
      <c r="M16" s="224">
        <f>+'I.1 Proyecciones Población'!E29/$T$6</f>
        <v>1.08499358059533</v>
      </c>
      <c r="N16" s="189">
        <v>2031</v>
      </c>
      <c r="O16" s="227">
        <v>0</v>
      </c>
      <c r="P16" s="227">
        <v>0</v>
      </c>
      <c r="Q16" s="225">
        <f t="shared" si="1"/>
        <v>20318938.7428888</v>
      </c>
      <c r="R16" s="223">
        <f t="shared" si="2"/>
        <v>21277289.1635029</v>
      </c>
      <c r="S16" s="223">
        <f t="shared" si="3"/>
        <v>21120963.4333993</v>
      </c>
      <c r="T16" s="223">
        <f t="shared" si="4"/>
        <v>19878140.4523153</v>
      </c>
      <c r="U16" s="223">
        <f t="shared" si="5"/>
        <v>32281341.7009743</v>
      </c>
      <c r="V16" s="223">
        <f t="shared" si="6"/>
        <v>38722299.8925444</v>
      </c>
      <c r="W16" s="251">
        <v>450000</v>
      </c>
      <c r="X16" s="190">
        <f t="shared" si="7"/>
        <v>154048973.385625</v>
      </c>
      <c r="AA16" s="255"/>
      <c r="AB16" s="255"/>
      <c r="AC16" s="255"/>
      <c r="AD16" s="255"/>
      <c r="AE16" s="255"/>
      <c r="AF16" s="255"/>
      <c r="AG16" s="255"/>
      <c r="AH16" s="255"/>
      <c r="AI16" s="255"/>
    </row>
    <row r="17" ht="14.4" customHeight="1" spans="2:35">
      <c r="B17" s="187" t="s">
        <v>541</v>
      </c>
      <c r="C17" s="188" t="s">
        <v>527</v>
      </c>
      <c r="D17" s="189">
        <v>1</v>
      </c>
      <c r="E17" s="190">
        <v>26100</v>
      </c>
      <c r="F17" s="190">
        <v>26100</v>
      </c>
      <c r="G17" s="183"/>
      <c r="I17" t="s">
        <v>1017</v>
      </c>
      <c r="K17" s="229">
        <f>+SUM(K13:K14)</f>
        <v>18320975.1724138</v>
      </c>
      <c r="L17" s="229"/>
      <c r="M17" s="224">
        <f>+'I.1 Proyecciones Población'!E30/$T$6</f>
        <v>1.09336467800638</v>
      </c>
      <c r="N17" s="189">
        <v>2032</v>
      </c>
      <c r="O17" s="227">
        <v>0</v>
      </c>
      <c r="P17" s="227">
        <v>0</v>
      </c>
      <c r="Q17" s="225">
        <f t="shared" si="1"/>
        <v>20318938.7428888</v>
      </c>
      <c r="R17" s="223">
        <f t="shared" si="2"/>
        <v>21441450.7432729</v>
      </c>
      <c r="S17" s="223">
        <f t="shared" si="3"/>
        <v>21120963.4333993</v>
      </c>
      <c r="T17" s="223">
        <f t="shared" si="4"/>
        <v>20031507.1201491</v>
      </c>
      <c r="U17" s="223">
        <f t="shared" si="5"/>
        <v>32281341.7009743</v>
      </c>
      <c r="V17" s="223">
        <f t="shared" si="6"/>
        <v>39021055.7102542</v>
      </c>
      <c r="W17" s="251">
        <v>450000</v>
      </c>
      <c r="X17" s="190">
        <f t="shared" si="7"/>
        <v>154665257.450939</v>
      </c>
      <c r="AA17" s="255"/>
      <c r="AB17" s="255"/>
      <c r="AC17" s="255"/>
      <c r="AD17" s="255"/>
      <c r="AE17" s="255"/>
      <c r="AF17" s="255"/>
      <c r="AG17" s="255"/>
      <c r="AH17" s="255"/>
      <c r="AI17" s="255"/>
    </row>
    <row r="18" spans="2:35">
      <c r="B18" s="187" t="s">
        <v>542</v>
      </c>
      <c r="C18" s="188" t="s">
        <v>527</v>
      </c>
      <c r="D18" s="189">
        <v>1</v>
      </c>
      <c r="E18" s="190">
        <v>26100</v>
      </c>
      <c r="F18" s="190">
        <v>26100</v>
      </c>
      <c r="G18" s="183"/>
      <c r="M18" s="224">
        <f>+'I.1 Proyecciones Población'!E31/$T$6</f>
        <v>1.10148980656653</v>
      </c>
      <c r="N18" s="189">
        <v>2033</v>
      </c>
      <c r="O18" s="227">
        <v>0</v>
      </c>
      <c r="P18" s="227">
        <v>0</v>
      </c>
      <c r="Q18" s="225">
        <f t="shared" si="1"/>
        <v>20318938.7428888</v>
      </c>
      <c r="R18" s="223">
        <f t="shared" si="2"/>
        <v>21600788.7457798</v>
      </c>
      <c r="S18" s="223">
        <f t="shared" si="3"/>
        <v>21120963.4333993</v>
      </c>
      <c r="T18" s="223">
        <f t="shared" si="4"/>
        <v>20180367.3987722</v>
      </c>
      <c r="U18" s="223">
        <f t="shared" si="5"/>
        <v>32281341.7009743</v>
      </c>
      <c r="V18" s="223">
        <f t="shared" si="6"/>
        <v>39311033.1538062</v>
      </c>
      <c r="W18" s="251">
        <v>450000</v>
      </c>
      <c r="X18" s="190">
        <f t="shared" si="7"/>
        <v>155263433.175621</v>
      </c>
      <c r="AA18" s="255"/>
      <c r="AB18" s="255"/>
      <c r="AC18" s="255"/>
      <c r="AD18" s="255"/>
      <c r="AE18" s="255"/>
      <c r="AF18" s="255"/>
      <c r="AG18" s="255"/>
      <c r="AH18" s="255"/>
      <c r="AI18" s="255"/>
    </row>
    <row r="19" spans="2:35">
      <c r="B19" s="191" t="s">
        <v>543</v>
      </c>
      <c r="C19" s="192"/>
      <c r="D19" s="192"/>
      <c r="E19" s="193">
        <v>208550</v>
      </c>
      <c r="F19" s="193">
        <v>345475</v>
      </c>
      <c r="G19" s="183"/>
      <c r="I19" t="s">
        <v>544</v>
      </c>
      <c r="M19" s="224">
        <f>+'I.1 Proyecciones Población'!E32/$T$6</f>
        <v>1.10944594305604</v>
      </c>
      <c r="N19" s="189">
        <v>2034</v>
      </c>
      <c r="O19" s="227">
        <v>0</v>
      </c>
      <c r="P19" s="227">
        <v>0</v>
      </c>
      <c r="Q19" s="225">
        <f t="shared" si="1"/>
        <v>20318938.7428888</v>
      </c>
      <c r="R19" s="223">
        <f t="shared" si="2"/>
        <v>21756812.7257732</v>
      </c>
      <c r="S19" s="223">
        <f t="shared" si="3"/>
        <v>21120963.4333993</v>
      </c>
      <c r="T19" s="223">
        <f t="shared" si="4"/>
        <v>20326131.577865</v>
      </c>
      <c r="U19" s="223">
        <f t="shared" si="5"/>
        <v>32281341.7009743</v>
      </c>
      <c r="V19" s="223">
        <f t="shared" si="6"/>
        <v>39594979.4449576</v>
      </c>
      <c r="W19" s="251">
        <v>450000</v>
      </c>
      <c r="X19" s="190">
        <f t="shared" si="7"/>
        <v>155849167.625858</v>
      </c>
      <c r="AA19" s="255"/>
      <c r="AB19" s="255"/>
      <c r="AC19" s="255"/>
      <c r="AD19" s="255"/>
      <c r="AE19" s="255"/>
      <c r="AF19" s="255"/>
      <c r="AG19" s="255"/>
      <c r="AH19" s="255"/>
      <c r="AI19" s="255"/>
    </row>
    <row r="20" spans="2:35">
      <c r="B20" s="184" t="s">
        <v>545</v>
      </c>
      <c r="C20" s="185"/>
      <c r="D20" s="185"/>
      <c r="E20" s="185"/>
      <c r="F20" s="186"/>
      <c r="G20" s="183"/>
      <c r="I20" s="180" t="s">
        <v>10</v>
      </c>
      <c r="J20" s="180" t="s">
        <v>517</v>
      </c>
      <c r="K20" s="180" t="s">
        <v>518</v>
      </c>
      <c r="M20" s="224">
        <f>+'I.1 Proyecciones Población'!E33/$T$6</f>
        <v>1.11726010581504</v>
      </c>
      <c r="N20" s="189">
        <v>2035</v>
      </c>
      <c r="O20" s="227">
        <v>0</v>
      </c>
      <c r="P20" s="227">
        <v>0</v>
      </c>
      <c r="Q20" s="225">
        <f t="shared" si="1"/>
        <v>20318938.7428888</v>
      </c>
      <c r="R20" s="223">
        <f t="shared" si="2"/>
        <v>21910052.5269732</v>
      </c>
      <c r="S20" s="223">
        <f t="shared" si="3"/>
        <v>21120963.4333993</v>
      </c>
      <c r="T20" s="223">
        <f t="shared" si="4"/>
        <v>20469294.6597657</v>
      </c>
      <c r="U20" s="223">
        <f t="shared" si="5"/>
        <v>32281341.7009743</v>
      </c>
      <c r="V20" s="223">
        <f t="shared" si="6"/>
        <v>39873858.8403516</v>
      </c>
      <c r="W20" s="251">
        <v>450000</v>
      </c>
      <c r="X20" s="190">
        <f t="shared" si="7"/>
        <v>156424449.904353</v>
      </c>
      <c r="AA20" s="255"/>
      <c r="AB20" s="255"/>
      <c r="AC20" s="255"/>
      <c r="AD20" s="255"/>
      <c r="AE20" s="255"/>
      <c r="AF20" s="255"/>
      <c r="AG20" s="255"/>
      <c r="AH20" s="255"/>
      <c r="AI20" s="255"/>
    </row>
    <row r="21" spans="2:35">
      <c r="B21" s="194" t="s">
        <v>546</v>
      </c>
      <c r="C21" s="195" t="s">
        <v>527</v>
      </c>
      <c r="D21" s="189">
        <v>1</v>
      </c>
      <c r="E21" s="196">
        <v>26100</v>
      </c>
      <c r="F21" s="196">
        <v>26100</v>
      </c>
      <c r="G21" s="183"/>
      <c r="I21" s="195" t="s">
        <v>523</v>
      </c>
      <c r="J21" s="210">
        <v>155050</v>
      </c>
      <c r="K21" s="196">
        <f>+J21*12</f>
        <v>1860600</v>
      </c>
      <c r="M21" s="224">
        <f>+'I.1 Proyecciones Población'!E34/$T$6</f>
        <v>1.12494682357355</v>
      </c>
      <c r="N21" s="189">
        <v>2036</v>
      </c>
      <c r="O21" s="227">
        <v>0</v>
      </c>
      <c r="P21" s="227">
        <v>0</v>
      </c>
      <c r="Q21" s="225">
        <f t="shared" si="1"/>
        <v>20318938.7428888</v>
      </c>
      <c r="R21" s="223">
        <f t="shared" si="2"/>
        <v>22060793.0653425</v>
      </c>
      <c r="S21" s="223">
        <f t="shared" si="3"/>
        <v>21120963.4333993</v>
      </c>
      <c r="T21" s="223">
        <f t="shared" si="4"/>
        <v>20610122.8249768</v>
      </c>
      <c r="U21" s="223">
        <f t="shared" si="5"/>
        <v>32281341.7009743</v>
      </c>
      <c r="V21" s="223">
        <f t="shared" si="6"/>
        <v>40148189.8553529</v>
      </c>
      <c r="W21" s="251">
        <v>450000</v>
      </c>
      <c r="X21" s="190">
        <f t="shared" si="7"/>
        <v>156990349.622935</v>
      </c>
      <c r="AA21" s="255"/>
      <c r="AB21" s="255"/>
      <c r="AC21" s="255"/>
      <c r="AD21" s="255"/>
      <c r="AE21" s="255"/>
      <c r="AF21" s="255"/>
      <c r="AG21" s="255"/>
      <c r="AH21" s="255"/>
      <c r="AI21" s="255"/>
    </row>
    <row r="22" spans="2:35">
      <c r="B22" s="194" t="s">
        <v>547</v>
      </c>
      <c r="C22" s="195" t="s">
        <v>527</v>
      </c>
      <c r="D22" s="189">
        <v>1</v>
      </c>
      <c r="E22" s="196">
        <v>20625</v>
      </c>
      <c r="F22" s="196">
        <v>20625</v>
      </c>
      <c r="G22" s="183"/>
      <c r="I22" s="195" t="s">
        <v>528</v>
      </c>
      <c r="J22" s="210">
        <v>39750</v>
      </c>
      <c r="K22" s="196">
        <f t="shared" ref="K22:K28" si="8">+J22*12</f>
        <v>477000</v>
      </c>
      <c r="M22" s="224">
        <f>+'I.1 Proyecciones Población'!E35/$T$6</f>
        <v>1.13247066662147</v>
      </c>
      <c r="N22" s="189">
        <v>2037</v>
      </c>
      <c r="O22" s="227">
        <v>0</v>
      </c>
      <c r="P22" s="227">
        <v>0</v>
      </c>
      <c r="Q22" s="225">
        <f t="shared" si="1"/>
        <v>20318938.7428888</v>
      </c>
      <c r="R22" s="223">
        <f t="shared" si="2"/>
        <v>22208339.5458143</v>
      </c>
      <c r="S22" s="223">
        <f t="shared" si="3"/>
        <v>21120963.4333993</v>
      </c>
      <c r="T22" s="223">
        <f t="shared" si="4"/>
        <v>20747966.9666588</v>
      </c>
      <c r="U22" s="223">
        <f t="shared" si="5"/>
        <v>32281341.7009743</v>
      </c>
      <c r="V22" s="223">
        <f t="shared" si="6"/>
        <v>40416708.0402125</v>
      </c>
      <c r="W22" s="251">
        <v>450000</v>
      </c>
      <c r="X22" s="190">
        <f t="shared" si="7"/>
        <v>157544258.429948</v>
      </c>
      <c r="AA22" s="255"/>
      <c r="AB22" s="255"/>
      <c r="AC22" s="255"/>
      <c r="AD22" s="255"/>
      <c r="AE22" s="255"/>
      <c r="AF22" s="255"/>
      <c r="AG22" s="255"/>
      <c r="AH22" s="255"/>
      <c r="AI22" s="255"/>
    </row>
    <row r="23" spans="2:35">
      <c r="B23" s="194" t="s">
        <v>548</v>
      </c>
      <c r="C23" s="195" t="s">
        <v>527</v>
      </c>
      <c r="D23" s="189">
        <v>1</v>
      </c>
      <c r="E23" s="196">
        <v>20625</v>
      </c>
      <c r="F23" s="196">
        <v>20625</v>
      </c>
      <c r="G23" s="183"/>
      <c r="I23" s="195" t="s">
        <v>530</v>
      </c>
      <c r="J23" s="210">
        <f>+F103</f>
        <v>6018.64698955236</v>
      </c>
      <c r="K23" s="196">
        <f t="shared" si="8"/>
        <v>72223.7638746283</v>
      </c>
      <c r="M23" s="224">
        <f>+'I.1 Proyecciones Población'!E36/$T$6</f>
        <v>1.13974726636846</v>
      </c>
      <c r="N23" s="189">
        <v>2038</v>
      </c>
      <c r="O23" s="227">
        <v>0</v>
      </c>
      <c r="P23" s="227">
        <v>0</v>
      </c>
      <c r="Q23" s="225">
        <f t="shared" si="1"/>
        <v>20318938.7428888</v>
      </c>
      <c r="R23" s="223">
        <f t="shared" si="2"/>
        <v>22351037.4563945</v>
      </c>
      <c r="S23" s="223">
        <f t="shared" si="3"/>
        <v>21120963.4333993</v>
      </c>
      <c r="T23" s="223">
        <f t="shared" si="4"/>
        <v>20881281.3699631</v>
      </c>
      <c r="U23" s="223">
        <f t="shared" si="5"/>
        <v>32281341.7009743</v>
      </c>
      <c r="V23" s="223">
        <f t="shared" si="6"/>
        <v>40676402.3671104</v>
      </c>
      <c r="W23" s="251">
        <v>450000</v>
      </c>
      <c r="X23" s="190">
        <f t="shared" si="7"/>
        <v>158079965.07073</v>
      </c>
      <c r="AA23" s="255"/>
      <c r="AB23" s="255"/>
      <c r="AC23" s="255"/>
      <c r="AD23" s="255"/>
      <c r="AE23" s="255"/>
      <c r="AF23" s="255"/>
      <c r="AG23" s="255"/>
      <c r="AH23" s="255"/>
      <c r="AI23" s="255"/>
    </row>
    <row r="24" spans="2:35">
      <c r="B24" s="194" t="s">
        <v>549</v>
      </c>
      <c r="C24" s="195" t="s">
        <v>527</v>
      </c>
      <c r="D24" s="189">
        <v>1</v>
      </c>
      <c r="E24" s="196">
        <v>20625</v>
      </c>
      <c r="F24" s="196">
        <v>20625</v>
      </c>
      <c r="G24" s="183"/>
      <c r="I24" s="195" t="s">
        <v>532</v>
      </c>
      <c r="J24" s="210">
        <v>7500</v>
      </c>
      <c r="K24" s="196">
        <f t="shared" si="8"/>
        <v>90000</v>
      </c>
      <c r="M24" s="224">
        <f>+'I.1 Proyecciones Población'!E37/$T$6</f>
        <v>1.14666676522413</v>
      </c>
      <c r="N24" s="189">
        <v>2039</v>
      </c>
      <c r="O24" s="227">
        <v>0</v>
      </c>
      <c r="P24" s="227">
        <v>0</v>
      </c>
      <c r="Q24" s="225">
        <f t="shared" si="1"/>
        <v>20318938.7428888</v>
      </c>
      <c r="R24" s="223">
        <f t="shared" si="2"/>
        <v>22486732.4325232</v>
      </c>
      <c r="S24" s="223">
        <f t="shared" si="3"/>
        <v>21120963.4333993</v>
      </c>
      <c r="T24" s="223">
        <f t="shared" si="4"/>
        <v>21008053.3367034</v>
      </c>
      <c r="U24" s="223">
        <f t="shared" si="5"/>
        <v>32281341.7009743</v>
      </c>
      <c r="V24" s="223">
        <f t="shared" si="6"/>
        <v>40923352.132148</v>
      </c>
      <c r="W24" s="251">
        <v>450000</v>
      </c>
      <c r="X24" s="190">
        <f t="shared" si="7"/>
        <v>158589381.778637</v>
      </c>
      <c r="AA24" s="255"/>
      <c r="AB24" s="255"/>
      <c r="AC24" s="255"/>
      <c r="AD24" s="255"/>
      <c r="AE24" s="255"/>
      <c r="AF24" s="255"/>
      <c r="AG24" s="255"/>
      <c r="AH24" s="255"/>
      <c r="AI24" s="255"/>
    </row>
    <row r="25" spans="2:35">
      <c r="B25" s="194" t="s">
        <v>550</v>
      </c>
      <c r="C25" s="195" t="s">
        <v>527</v>
      </c>
      <c r="D25" s="189">
        <v>3</v>
      </c>
      <c r="E25" s="196">
        <v>13200</v>
      </c>
      <c r="F25" s="196">
        <v>39600</v>
      </c>
      <c r="G25" s="183"/>
      <c r="I25" s="195" t="s">
        <v>551</v>
      </c>
      <c r="J25" s="210">
        <v>1484926.24825118</v>
      </c>
      <c r="K25" s="196">
        <f t="shared" si="8"/>
        <v>17819114.9790142</v>
      </c>
      <c r="M25" s="224">
        <f>+'I.1 Proyecciones Población'!E38/$T$6</f>
        <v>1.15311854092807</v>
      </c>
      <c r="N25" s="189">
        <v>2040</v>
      </c>
      <c r="O25" s="227">
        <v>0</v>
      </c>
      <c r="P25" s="227">
        <v>0</v>
      </c>
      <c r="Q25" s="225">
        <f t="shared" si="1"/>
        <v>20318938.7428888</v>
      </c>
      <c r="R25" s="223">
        <f t="shared" si="2"/>
        <v>22613255.1140633</v>
      </c>
      <c r="S25" s="223">
        <f t="shared" si="3"/>
        <v>21120963.4333993</v>
      </c>
      <c r="T25" s="223">
        <f t="shared" si="4"/>
        <v>21126256.1591932</v>
      </c>
      <c r="U25" s="223">
        <f t="shared" si="5"/>
        <v>32281341.7009743</v>
      </c>
      <c r="V25" s="223">
        <f t="shared" si="6"/>
        <v>41153609.3411448</v>
      </c>
      <c r="W25" s="251">
        <v>450000</v>
      </c>
      <c r="X25" s="190">
        <f t="shared" si="7"/>
        <v>159064364.491664</v>
      </c>
      <c r="AA25" s="255"/>
      <c r="AB25" s="255"/>
      <c r="AC25" s="255"/>
      <c r="AD25" s="255"/>
      <c r="AE25" s="255"/>
      <c r="AF25" s="255"/>
      <c r="AG25" s="255"/>
      <c r="AH25" s="255"/>
      <c r="AI25" s="255"/>
    </row>
    <row r="26" spans="2:35">
      <c r="B26" s="194" t="s">
        <v>552</v>
      </c>
      <c r="C26" s="195" t="s">
        <v>527</v>
      </c>
      <c r="D26" s="189">
        <v>2</v>
      </c>
      <c r="E26" s="196">
        <v>10725</v>
      </c>
      <c r="F26" s="196">
        <v>21450</v>
      </c>
      <c r="G26" s="183"/>
      <c r="I26" s="195" t="s">
        <v>553</v>
      </c>
      <c r="J26" s="210">
        <v>1560982.77783594</v>
      </c>
      <c r="K26" s="196">
        <f t="shared" si="8"/>
        <v>18731793.3340313</v>
      </c>
      <c r="M26" s="224">
        <f>+'I.1 Proyecciones Población'!E39/$T$6</f>
        <v>1.15900700972992</v>
      </c>
      <c r="N26" s="189">
        <v>2041</v>
      </c>
      <c r="O26" s="227">
        <v>0</v>
      </c>
      <c r="P26" s="227">
        <v>0</v>
      </c>
      <c r="Q26" s="225">
        <f t="shared" si="1"/>
        <v>20318938.7428888</v>
      </c>
      <c r="R26" s="223">
        <f t="shared" si="2"/>
        <v>22728731.0538918</v>
      </c>
      <c r="S26" s="223">
        <f t="shared" si="3"/>
        <v>21120963.4333993</v>
      </c>
      <c r="T26" s="223">
        <f t="shared" si="4"/>
        <v>21234138.6499153</v>
      </c>
      <c r="U26" s="223">
        <f t="shared" si="5"/>
        <v>32281341.7009743</v>
      </c>
      <c r="V26" s="223">
        <f t="shared" si="6"/>
        <v>41363762.7088061</v>
      </c>
      <c r="W26" s="251">
        <v>450000</v>
      </c>
      <c r="X26" s="190">
        <f t="shared" si="7"/>
        <v>159497876.289876</v>
      </c>
      <c r="AA26" s="255"/>
      <c r="AB26" s="255"/>
      <c r="AC26" s="255"/>
      <c r="AD26" s="255"/>
      <c r="AE26" s="255"/>
      <c r="AF26" s="255"/>
      <c r="AG26" s="255"/>
      <c r="AH26" s="255"/>
      <c r="AI26" s="255"/>
    </row>
    <row r="27" spans="2:35">
      <c r="B27" s="194" t="s">
        <v>554</v>
      </c>
      <c r="C27" s="195" t="s">
        <v>527</v>
      </c>
      <c r="D27" s="189">
        <v>2</v>
      </c>
      <c r="E27" s="196">
        <v>10725</v>
      </c>
      <c r="F27" s="196">
        <v>21450</v>
      </c>
      <c r="G27" s="183"/>
      <c r="I27" s="195" t="s">
        <v>555</v>
      </c>
      <c r="J27" s="210">
        <f>+F126</f>
        <v>49227.2875535902</v>
      </c>
      <c r="K27" s="196">
        <f t="shared" si="8"/>
        <v>590727.450643083</v>
      </c>
      <c r="M27" s="224">
        <f>+'I.1 Proyecciones Población'!E40/$T$6</f>
        <v>1.16430158482956</v>
      </c>
      <c r="N27" s="189">
        <v>2042</v>
      </c>
      <c r="O27" s="227">
        <v>0</v>
      </c>
      <c r="P27" s="227">
        <v>0</v>
      </c>
      <c r="Q27" s="225">
        <f t="shared" si="1"/>
        <v>20318938.7428888</v>
      </c>
      <c r="R27" s="223">
        <f t="shared" si="2"/>
        <v>22832560.4289293</v>
      </c>
      <c r="S27" s="223">
        <f t="shared" si="3"/>
        <v>21120963.4333993</v>
      </c>
      <c r="T27" s="223">
        <f t="shared" si="4"/>
        <v>21331140.4288644</v>
      </c>
      <c r="U27" s="223">
        <f t="shared" si="5"/>
        <v>32281341.7009743</v>
      </c>
      <c r="V27" s="223">
        <f t="shared" si="6"/>
        <v>41552720.6238377</v>
      </c>
      <c r="W27" s="251">
        <v>450000</v>
      </c>
      <c r="X27" s="190">
        <f t="shared" si="7"/>
        <v>159887665.358894</v>
      </c>
      <c r="AA27" s="255"/>
      <c r="AB27" s="255"/>
      <c r="AC27" s="255"/>
      <c r="AD27" s="255"/>
      <c r="AE27" s="255"/>
      <c r="AF27" s="255"/>
      <c r="AG27" s="255"/>
      <c r="AH27" s="255"/>
      <c r="AI27" s="255"/>
    </row>
    <row r="28" spans="2:35">
      <c r="B28" s="194" t="s">
        <v>556</v>
      </c>
      <c r="C28" s="195" t="s">
        <v>527</v>
      </c>
      <c r="D28" s="189">
        <v>1</v>
      </c>
      <c r="E28" s="196">
        <v>20625</v>
      </c>
      <c r="F28" s="196">
        <v>20625</v>
      </c>
      <c r="G28" s="183"/>
      <c r="I28" s="233" t="s">
        <v>557</v>
      </c>
      <c r="J28" s="234">
        <v>24000</v>
      </c>
      <c r="K28" s="196">
        <f t="shared" si="8"/>
        <v>288000</v>
      </c>
      <c r="M28" s="224">
        <f>+'I.1 Proyecciones Población'!E41/$T$6</f>
        <v>1.16899997221699</v>
      </c>
      <c r="N28" s="189">
        <v>2043</v>
      </c>
      <c r="O28" s="227">
        <v>0</v>
      </c>
      <c r="P28" s="227">
        <v>0</v>
      </c>
      <c r="Q28" s="225">
        <f t="shared" si="1"/>
        <v>20318938.7428888</v>
      </c>
      <c r="R28" s="223">
        <f t="shared" si="2"/>
        <v>22924698.252445</v>
      </c>
      <c r="S28" s="223">
        <f t="shared" si="3"/>
        <v>21120963.4333993</v>
      </c>
      <c r="T28" s="223">
        <f t="shared" si="4"/>
        <v>21417219.4675399</v>
      </c>
      <c r="U28" s="223">
        <f t="shared" si="5"/>
        <v>32281341.7009743</v>
      </c>
      <c r="V28" s="223">
        <f t="shared" si="6"/>
        <v>41720401.2153925</v>
      </c>
      <c r="W28" s="251">
        <v>450000</v>
      </c>
      <c r="X28" s="190">
        <f t="shared" si="7"/>
        <v>160233562.81264</v>
      </c>
      <c r="AA28" s="255"/>
      <c r="AB28" s="255"/>
      <c r="AC28" s="255"/>
      <c r="AD28" s="255"/>
      <c r="AE28" s="255"/>
      <c r="AF28" s="255"/>
      <c r="AG28" s="255"/>
      <c r="AH28" s="255"/>
      <c r="AI28" s="255"/>
    </row>
    <row r="29" spans="2:35">
      <c r="B29" s="191" t="s">
        <v>558</v>
      </c>
      <c r="C29" s="192"/>
      <c r="D29" s="192"/>
      <c r="E29" s="193">
        <v>143250</v>
      </c>
      <c r="F29" s="193">
        <v>191100</v>
      </c>
      <c r="G29" s="197"/>
      <c r="I29" s="235" t="s">
        <v>170</v>
      </c>
      <c r="J29" s="236">
        <f>+SUM(J21:J28)</f>
        <v>3327454.96063026</v>
      </c>
      <c r="K29" s="236">
        <f>+SUM(K21:K28)</f>
        <v>39929459.5275631</v>
      </c>
      <c r="M29" s="224">
        <f>+'I.1 Proyecciones Población'!E42/$T$6</f>
        <v>1.17315544390241</v>
      </c>
      <c r="N29" s="189">
        <v>2044</v>
      </c>
      <c r="O29" s="227">
        <v>0</v>
      </c>
      <c r="P29" s="227">
        <v>0</v>
      </c>
      <c r="Q29" s="225">
        <f t="shared" si="1"/>
        <v>20318938.7428888</v>
      </c>
      <c r="R29" s="223">
        <f t="shared" si="2"/>
        <v>23006189.216302</v>
      </c>
      <c r="S29" s="223">
        <f t="shared" si="3"/>
        <v>21120963.4333993</v>
      </c>
      <c r="T29" s="223">
        <f t="shared" si="4"/>
        <v>21493351.7611181</v>
      </c>
      <c r="U29" s="223">
        <f t="shared" si="5"/>
        <v>32281341.7009743</v>
      </c>
      <c r="V29" s="223">
        <f t="shared" si="6"/>
        <v>41868705.7064748</v>
      </c>
      <c r="W29" s="251">
        <v>450000</v>
      </c>
      <c r="X29" s="190">
        <f t="shared" si="7"/>
        <v>160539490.561157</v>
      </c>
      <c r="AA29" s="255"/>
      <c r="AB29" s="255"/>
      <c r="AC29" s="255"/>
      <c r="AD29" s="255"/>
      <c r="AE29" s="255"/>
      <c r="AF29" s="255"/>
      <c r="AG29" s="255"/>
      <c r="AH29" s="255"/>
      <c r="AI29" s="255"/>
    </row>
    <row r="30" spans="2:35">
      <c r="B30" s="184" t="s">
        <v>559</v>
      </c>
      <c r="C30" s="185"/>
      <c r="D30" s="185"/>
      <c r="E30" s="185"/>
      <c r="F30" s="186"/>
      <c r="G30" s="183"/>
      <c r="I30" t="s">
        <v>1016</v>
      </c>
      <c r="K30" s="229">
        <f>+K21+K22+K23+K24+K25</f>
        <v>20318938.7428888</v>
      </c>
      <c r="M30" s="224">
        <f>+'I.1 Proyecciones Población'!E43/$T$6</f>
        <v>1.17681566431599</v>
      </c>
      <c r="N30" s="189">
        <v>2045</v>
      </c>
      <c r="O30" s="227">
        <v>0</v>
      </c>
      <c r="P30" s="227">
        <v>0</v>
      </c>
      <c r="Q30" s="225">
        <f t="shared" si="1"/>
        <v>20318938.7428888</v>
      </c>
      <c r="R30" s="223">
        <f t="shared" si="2"/>
        <v>23077968.044799</v>
      </c>
      <c r="S30" s="223">
        <f t="shared" si="3"/>
        <v>21120963.4333993</v>
      </c>
      <c r="T30" s="223">
        <f t="shared" si="4"/>
        <v>21560410.5684408</v>
      </c>
      <c r="U30" s="223">
        <f t="shared" si="5"/>
        <v>32281341.7009743</v>
      </c>
      <c r="V30" s="223">
        <f t="shared" si="6"/>
        <v>41999335.1913512</v>
      </c>
      <c r="W30" s="251">
        <v>450000</v>
      </c>
      <c r="X30" s="190">
        <f t="shared" si="7"/>
        <v>160808957.681853</v>
      </c>
      <c r="AA30" s="255"/>
      <c r="AB30" s="255"/>
      <c r="AC30" s="255"/>
      <c r="AD30" s="255"/>
      <c r="AE30" s="255"/>
      <c r="AF30" s="255"/>
      <c r="AG30" s="255"/>
      <c r="AH30" s="255"/>
      <c r="AI30" s="255"/>
    </row>
    <row r="31" spans="2:35">
      <c r="B31" s="187" t="s">
        <v>560</v>
      </c>
      <c r="C31" s="189" t="s">
        <v>561</v>
      </c>
      <c r="D31" s="189">
        <v>1</v>
      </c>
      <c r="E31" s="196">
        <v>5000</v>
      </c>
      <c r="F31" s="196">
        <v>5000</v>
      </c>
      <c r="G31" s="183"/>
      <c r="I31" t="s">
        <v>1017</v>
      </c>
      <c r="K31" s="229">
        <f>+K26+K27+K28</f>
        <v>19610520.7846743</v>
      </c>
      <c r="M31" s="224">
        <f>+'I.1 Proyecciones Población'!E44/$T$6</f>
        <v>1.18005251243799</v>
      </c>
      <c r="N31" s="189">
        <v>2046</v>
      </c>
      <c r="O31" s="227">
        <v>0</v>
      </c>
      <c r="P31" s="227">
        <v>0</v>
      </c>
      <c r="Q31" s="225">
        <f t="shared" si="1"/>
        <v>20318938.7428888</v>
      </c>
      <c r="R31" s="223">
        <f t="shared" si="2"/>
        <v>23141444.3221725</v>
      </c>
      <c r="S31" s="223">
        <f t="shared" si="3"/>
        <v>21120963.4333993</v>
      </c>
      <c r="T31" s="223">
        <f t="shared" si="4"/>
        <v>21619712.782521</v>
      </c>
      <c r="U31" s="223">
        <f t="shared" si="5"/>
        <v>32281341.7009743</v>
      </c>
      <c r="V31" s="223">
        <f t="shared" si="6"/>
        <v>42114854.9565633</v>
      </c>
      <c r="W31" s="251">
        <v>450000</v>
      </c>
      <c r="X31" s="190">
        <f t="shared" si="7"/>
        <v>161047255.938519</v>
      </c>
      <c r="AA31" s="255"/>
      <c r="AB31" s="255"/>
      <c r="AC31" s="255"/>
      <c r="AD31" s="255"/>
      <c r="AE31" s="255"/>
      <c r="AF31" s="255"/>
      <c r="AG31" s="255"/>
      <c r="AH31" s="255"/>
      <c r="AI31" s="255"/>
    </row>
    <row r="32" spans="2:35">
      <c r="B32" s="187" t="s">
        <v>562</v>
      </c>
      <c r="C32" s="189" t="s">
        <v>561</v>
      </c>
      <c r="D32" s="189">
        <v>1</v>
      </c>
      <c r="E32" s="196">
        <v>7500</v>
      </c>
      <c r="F32" s="196">
        <v>7500</v>
      </c>
      <c r="G32" s="183"/>
      <c r="K32" s="229"/>
      <c r="M32" s="224">
        <f>+'I.1 Proyecciones Población'!E45/$T$6</f>
        <v>1.18293659279869</v>
      </c>
      <c r="N32" s="189">
        <v>2047</v>
      </c>
      <c r="O32" s="227">
        <v>0</v>
      </c>
      <c r="P32" s="227">
        <v>0</v>
      </c>
      <c r="Q32" s="225">
        <f t="shared" si="1"/>
        <v>20318938.7428888</v>
      </c>
      <c r="R32" s="223">
        <f t="shared" si="2"/>
        <v>23198002.6400306</v>
      </c>
      <c r="S32" s="223">
        <f t="shared" si="3"/>
        <v>21120963.4333993</v>
      </c>
      <c r="T32" s="223">
        <f t="shared" si="4"/>
        <v>21672551.9472046</v>
      </c>
      <c r="U32" s="223">
        <f t="shared" si="5"/>
        <v>32281341.7009743</v>
      </c>
      <c r="V32" s="223">
        <f t="shared" si="6"/>
        <v>42217784.8048487</v>
      </c>
      <c r="W32" s="251">
        <v>450000</v>
      </c>
      <c r="X32" s="190">
        <f t="shared" si="7"/>
        <v>161259583.269346</v>
      </c>
      <c r="AA32" s="255"/>
      <c r="AB32" s="255"/>
      <c r="AC32" s="255"/>
      <c r="AD32" s="255"/>
      <c r="AE32" s="255"/>
      <c r="AF32" s="255"/>
      <c r="AG32" s="255"/>
      <c r="AH32" s="255"/>
      <c r="AI32" s="255"/>
    </row>
    <row r="33" spans="2:35">
      <c r="B33" s="187" t="s">
        <v>564</v>
      </c>
      <c r="C33" s="189" t="s">
        <v>561</v>
      </c>
      <c r="D33" s="189">
        <v>1</v>
      </c>
      <c r="E33" s="196">
        <v>1250</v>
      </c>
      <c r="F33" s="196">
        <v>1250</v>
      </c>
      <c r="G33" s="183"/>
      <c r="I33" t="s">
        <v>563</v>
      </c>
      <c r="M33" s="224">
        <f>+'I.1 Proyecciones Población'!E46/$T$6</f>
        <v>1.18553188278832</v>
      </c>
      <c r="N33" s="189">
        <v>2048</v>
      </c>
      <c r="O33" s="227">
        <v>0</v>
      </c>
      <c r="P33" s="227">
        <v>0</v>
      </c>
      <c r="Q33" s="225">
        <f t="shared" si="1"/>
        <v>20318938.7428888</v>
      </c>
      <c r="R33" s="223">
        <f t="shared" si="2"/>
        <v>23248897.6283145</v>
      </c>
      <c r="S33" s="223">
        <f t="shared" si="3"/>
        <v>21120963.4333993</v>
      </c>
      <c r="T33" s="223">
        <f t="shared" si="4"/>
        <v>21720100.1906698</v>
      </c>
      <c r="U33" s="223">
        <f t="shared" si="5"/>
        <v>32281341.7009743</v>
      </c>
      <c r="V33" s="223">
        <f t="shared" si="6"/>
        <v>42310408.0231643</v>
      </c>
      <c r="W33" s="251">
        <v>450000</v>
      </c>
      <c r="X33" s="190">
        <f t="shared" si="7"/>
        <v>161450649.719411</v>
      </c>
      <c r="AA33" s="255"/>
      <c r="AB33" s="255"/>
      <c r="AC33" s="255"/>
      <c r="AD33" s="255"/>
      <c r="AE33" s="255"/>
      <c r="AF33" s="255"/>
      <c r="AG33" s="255"/>
      <c r="AH33" s="255"/>
      <c r="AI33" s="255"/>
    </row>
    <row r="34" ht="16.95" customHeight="1" spans="2:35">
      <c r="B34" s="187" t="s">
        <v>565</v>
      </c>
      <c r="C34" s="189" t="s">
        <v>561</v>
      </c>
      <c r="D34" s="189">
        <v>1</v>
      </c>
      <c r="E34" s="190">
        <v>34500</v>
      </c>
      <c r="F34" s="190">
        <v>34500</v>
      </c>
      <c r="G34" s="183"/>
      <c r="I34" s="180" t="s">
        <v>10</v>
      </c>
      <c r="J34" s="180" t="s">
        <v>517</v>
      </c>
      <c r="K34" s="180" t="s">
        <v>518</v>
      </c>
      <c r="M34" s="224">
        <f>+'I.1 Proyecciones Población'!E47/$T$6</f>
        <v>1.18788324304705</v>
      </c>
      <c r="N34" s="189">
        <v>2049</v>
      </c>
      <c r="O34" s="227">
        <v>0</v>
      </c>
      <c r="P34" s="227">
        <v>0</v>
      </c>
      <c r="Q34" s="225">
        <f t="shared" si="1"/>
        <v>20318938.7428888</v>
      </c>
      <c r="R34" s="223">
        <f t="shared" si="2"/>
        <v>23295009.0275405</v>
      </c>
      <c r="S34" s="223">
        <f t="shared" si="3"/>
        <v>21120963.4333993</v>
      </c>
      <c r="T34" s="223">
        <f t="shared" si="4"/>
        <v>21763179.4035913</v>
      </c>
      <c r="U34" s="223">
        <f t="shared" si="5"/>
        <v>32281341.7009743</v>
      </c>
      <c r="V34" s="223">
        <f t="shared" si="6"/>
        <v>42394325.6414084</v>
      </c>
      <c r="W34" s="251">
        <v>450000</v>
      </c>
      <c r="X34" s="190">
        <f t="shared" si="7"/>
        <v>161623757.949803</v>
      </c>
      <c r="AA34" s="255"/>
      <c r="AB34" s="255"/>
      <c r="AC34" s="255"/>
      <c r="AD34" s="255"/>
      <c r="AE34" s="255"/>
      <c r="AF34" s="255"/>
      <c r="AG34" s="255"/>
      <c r="AH34" s="255"/>
      <c r="AI34" s="255"/>
    </row>
    <row r="35" spans="2:35">
      <c r="B35" s="187" t="s">
        <v>566</v>
      </c>
      <c r="C35" s="189" t="s">
        <v>561</v>
      </c>
      <c r="D35" s="189">
        <v>2</v>
      </c>
      <c r="E35" s="196">
        <v>7500</v>
      </c>
      <c r="F35" s="196">
        <v>15000</v>
      </c>
      <c r="G35" s="183"/>
      <c r="I35" s="188" t="s">
        <v>523</v>
      </c>
      <c r="J35" s="210">
        <v>1844500</v>
      </c>
      <c r="K35" s="196">
        <f>+J35*12</f>
        <v>22134000</v>
      </c>
      <c r="M35" s="224">
        <f>+'I.1 Proyecciones Población'!E48/$T$6</f>
        <v>1.19001871147497</v>
      </c>
      <c r="N35" s="189">
        <v>2050</v>
      </c>
      <c r="O35" s="227">
        <v>0</v>
      </c>
      <c r="P35" s="227">
        <v>0</v>
      </c>
      <c r="Q35" s="225">
        <f t="shared" si="1"/>
        <v>20318938.7428888</v>
      </c>
      <c r="R35" s="223">
        <f t="shared" si="2"/>
        <v>23336886.6755313</v>
      </c>
      <c r="S35" s="223">
        <f t="shared" si="3"/>
        <v>21120963.4333993</v>
      </c>
      <c r="T35" s="223">
        <f t="shared" si="4"/>
        <v>21802303.2676408</v>
      </c>
      <c r="U35" s="223">
        <f t="shared" si="5"/>
        <v>32281341.7009743</v>
      </c>
      <c r="V35" s="223">
        <f t="shared" si="6"/>
        <v>42470538.3032674</v>
      </c>
      <c r="W35" s="251">
        <v>450000</v>
      </c>
      <c r="X35" s="190">
        <f t="shared" si="7"/>
        <v>161780972.123702</v>
      </c>
      <c r="AA35" s="255"/>
      <c r="AB35" s="255"/>
      <c r="AC35" s="255"/>
      <c r="AD35" s="255"/>
      <c r="AE35" s="255"/>
      <c r="AF35" s="255"/>
      <c r="AG35" s="255"/>
      <c r="AH35" s="255"/>
      <c r="AI35" s="255"/>
    </row>
    <row r="36" spans="2:35">
      <c r="B36" s="187" t="s">
        <v>567</v>
      </c>
      <c r="C36" s="189" t="s">
        <v>561</v>
      </c>
      <c r="D36" s="189">
        <v>1</v>
      </c>
      <c r="E36" s="196">
        <v>3500</v>
      </c>
      <c r="F36" s="196">
        <v>3500</v>
      </c>
      <c r="G36" s="183"/>
      <c r="I36" s="195" t="s">
        <v>528</v>
      </c>
      <c r="J36" s="210">
        <v>52250</v>
      </c>
      <c r="K36" s="196">
        <f t="shared" ref="K36:K42" si="9">+J36*12</f>
        <v>627000</v>
      </c>
      <c r="M36" s="224">
        <f>+'I.1 Proyecciones Población'!E49/$T$6</f>
        <v>1.19193573917208</v>
      </c>
      <c r="N36" s="189">
        <v>2051</v>
      </c>
      <c r="O36" s="227">
        <v>0</v>
      </c>
      <c r="P36" s="227">
        <v>0</v>
      </c>
      <c r="Q36" s="225">
        <f t="shared" si="1"/>
        <v>20318938.7428888</v>
      </c>
      <c r="R36" s="223">
        <f t="shared" si="2"/>
        <v>23374480.5870303</v>
      </c>
      <c r="S36" s="223">
        <f t="shared" si="3"/>
        <v>21120963.4333993</v>
      </c>
      <c r="T36" s="223">
        <f t="shared" si="4"/>
        <v>21837425.0844844</v>
      </c>
      <c r="U36" s="223">
        <f t="shared" si="5"/>
        <v>32281341.7009743</v>
      </c>
      <c r="V36" s="223">
        <f t="shared" si="6"/>
        <v>42538955.0411334</v>
      </c>
      <c r="W36" s="251">
        <v>450000</v>
      </c>
      <c r="X36" s="190">
        <f t="shared" si="7"/>
        <v>161922104.589911</v>
      </c>
      <c r="AA36" s="255"/>
      <c r="AB36" s="255"/>
      <c r="AC36" s="255"/>
      <c r="AD36" s="255"/>
      <c r="AE36" s="255"/>
      <c r="AF36" s="255"/>
      <c r="AG36" s="255"/>
      <c r="AH36" s="255"/>
      <c r="AI36" s="255"/>
    </row>
    <row r="37" spans="2:35">
      <c r="B37" s="187" t="s">
        <v>568</v>
      </c>
      <c r="C37" s="189" t="s">
        <v>561</v>
      </c>
      <c r="D37" s="189">
        <v>1</v>
      </c>
      <c r="E37" s="196">
        <v>3500</v>
      </c>
      <c r="F37" s="196">
        <v>3500</v>
      </c>
      <c r="G37" s="183"/>
      <c r="I37" s="195" t="s">
        <v>530</v>
      </c>
      <c r="J37" s="210">
        <f>+F160</f>
        <v>10833.5645811942</v>
      </c>
      <c r="K37" s="196">
        <f t="shared" si="9"/>
        <v>130002.774974331</v>
      </c>
      <c r="M37" s="224">
        <f>+'I.1 Proyecciones Población'!E50/$T$6</f>
        <v>1.19361495449831</v>
      </c>
      <c r="N37" s="189">
        <v>2052</v>
      </c>
      <c r="O37" s="227">
        <v>0</v>
      </c>
      <c r="P37" s="227">
        <v>0</v>
      </c>
      <c r="Q37" s="225">
        <f t="shared" si="1"/>
        <v>20318938.7428888</v>
      </c>
      <c r="R37" s="223">
        <f t="shared" si="2"/>
        <v>23407410.8740873</v>
      </c>
      <c r="S37" s="223">
        <f t="shared" si="3"/>
        <v>21120963.4333993</v>
      </c>
      <c r="T37" s="223">
        <f t="shared" si="4"/>
        <v>21868189.9467854</v>
      </c>
      <c r="U37" s="223">
        <f t="shared" si="5"/>
        <v>32281341.7009743</v>
      </c>
      <c r="V37" s="223">
        <f t="shared" si="6"/>
        <v>42598884.5011867</v>
      </c>
      <c r="W37" s="251">
        <v>450000</v>
      </c>
      <c r="X37" s="190">
        <f t="shared" si="7"/>
        <v>162045729.199322</v>
      </c>
      <c r="AA37" s="255"/>
      <c r="AB37" s="255"/>
      <c r="AC37" s="255"/>
      <c r="AD37" s="255"/>
      <c r="AE37" s="255"/>
      <c r="AF37" s="255"/>
      <c r="AG37" s="255"/>
      <c r="AH37" s="255"/>
      <c r="AI37" s="255"/>
    </row>
    <row r="38" spans="2:35">
      <c r="B38" s="191" t="s">
        <v>569</v>
      </c>
      <c r="C38" s="198"/>
      <c r="D38" s="198"/>
      <c r="E38" s="193">
        <v>62750</v>
      </c>
      <c r="F38" s="193">
        <v>70250</v>
      </c>
      <c r="G38" s="197"/>
      <c r="I38" s="195" t="s">
        <v>532</v>
      </c>
      <c r="J38" s="210">
        <v>7500</v>
      </c>
      <c r="K38" s="196">
        <f t="shared" si="9"/>
        <v>90000</v>
      </c>
      <c r="M38" s="224">
        <f>+'I.1 Proyecciones Población'!E51/$T$6</f>
        <v>1.19500232077346</v>
      </c>
      <c r="N38" s="189">
        <v>2053</v>
      </c>
      <c r="O38" s="227">
        <v>0</v>
      </c>
      <c r="P38" s="227">
        <v>0</v>
      </c>
      <c r="Q38" s="225">
        <f t="shared" si="1"/>
        <v>20318938.7428888</v>
      </c>
      <c r="R38" s="223">
        <f t="shared" si="2"/>
        <v>23434617.849262</v>
      </c>
      <c r="S38" s="223">
        <f t="shared" si="3"/>
        <v>21120963.4333993</v>
      </c>
      <c r="T38" s="223">
        <f t="shared" si="4"/>
        <v>21893607.8498674</v>
      </c>
      <c r="U38" s="223">
        <f t="shared" si="5"/>
        <v>32281341.7009743</v>
      </c>
      <c r="V38" s="223">
        <f t="shared" si="6"/>
        <v>42648398.1701409</v>
      </c>
      <c r="W38" s="251">
        <v>450000</v>
      </c>
      <c r="X38" s="190">
        <f t="shared" si="7"/>
        <v>162147867.746533</v>
      </c>
      <c r="AA38" s="255"/>
      <c r="AB38" s="255"/>
      <c r="AC38" s="255"/>
      <c r="AD38" s="255"/>
      <c r="AE38" s="255"/>
      <c r="AF38" s="255"/>
      <c r="AG38" s="255"/>
      <c r="AH38" s="255"/>
      <c r="AI38" s="255"/>
    </row>
    <row r="39" spans="2:35">
      <c r="B39" s="184" t="s">
        <v>571</v>
      </c>
      <c r="C39" s="185"/>
      <c r="D39" s="185"/>
      <c r="E39" s="185"/>
      <c r="F39" s="186"/>
      <c r="G39" s="183"/>
      <c r="I39" s="195" t="s">
        <v>570</v>
      </c>
      <c r="J39" s="210">
        <v>775028.243833333</v>
      </c>
      <c r="K39" s="196">
        <f t="shared" si="9"/>
        <v>9300338.926</v>
      </c>
      <c r="M39" s="224">
        <f>+'I.1 Proyecciones Población'!E52/$T$6</f>
        <v>1.19602774324726</v>
      </c>
      <c r="N39" s="189">
        <v>2054</v>
      </c>
      <c r="O39" s="227">
        <v>0</v>
      </c>
      <c r="P39" s="227">
        <v>0</v>
      </c>
      <c r="Q39" s="225">
        <f t="shared" si="1"/>
        <v>20318938.7428888</v>
      </c>
      <c r="R39" s="223">
        <f t="shared" si="2"/>
        <v>23454726.9179976</v>
      </c>
      <c r="S39" s="223">
        <f t="shared" si="3"/>
        <v>21120963.4333993</v>
      </c>
      <c r="T39" s="223">
        <f t="shared" si="4"/>
        <v>21912394.5895512</v>
      </c>
      <c r="U39" s="223">
        <f t="shared" si="5"/>
        <v>32281341.7009743</v>
      </c>
      <c r="V39" s="223">
        <f t="shared" si="6"/>
        <v>42684994.4387801</v>
      </c>
      <c r="W39" s="251">
        <v>450000</v>
      </c>
      <c r="X39" s="190">
        <f t="shared" si="7"/>
        <v>162223359.823591</v>
      </c>
      <c r="AA39" s="255"/>
      <c r="AB39" s="255"/>
      <c r="AC39" s="255"/>
      <c r="AD39" s="255"/>
      <c r="AE39" s="255"/>
      <c r="AF39" s="255"/>
      <c r="AG39" s="255"/>
      <c r="AH39" s="255"/>
      <c r="AI39" s="255"/>
    </row>
    <row r="40" spans="2:35">
      <c r="B40" s="194" t="s">
        <v>572</v>
      </c>
      <c r="C40" s="189" t="s">
        <v>94</v>
      </c>
      <c r="D40" s="199">
        <v>150</v>
      </c>
      <c r="E40" s="196"/>
      <c r="F40" s="196"/>
      <c r="G40" s="183"/>
      <c r="I40" s="195" t="s">
        <v>555</v>
      </c>
      <c r="J40" s="210">
        <f>+F176</f>
        <v>1103525.95531411</v>
      </c>
      <c r="K40" s="196">
        <f t="shared" si="9"/>
        <v>13242311.4637693</v>
      </c>
      <c r="M40" s="224">
        <f>+'I.1 Proyecciones Población'!E53/$T$6</f>
        <v>1.19662775430949</v>
      </c>
      <c r="N40" s="189">
        <v>2055</v>
      </c>
      <c r="O40" s="227">
        <v>0</v>
      </c>
      <c r="P40" s="227">
        <v>0</v>
      </c>
      <c r="Q40" s="225">
        <f t="shared" si="1"/>
        <v>20318938.7428888</v>
      </c>
      <c r="R40" s="223">
        <f t="shared" si="2"/>
        <v>23466493.4474044</v>
      </c>
      <c r="S40" s="223">
        <f t="shared" si="3"/>
        <v>21120963.4333993</v>
      </c>
      <c r="T40" s="223">
        <f t="shared" si="4"/>
        <v>21923387.3773254</v>
      </c>
      <c r="U40" s="223">
        <f t="shared" si="5"/>
        <v>32281341.7009743</v>
      </c>
      <c r="V40" s="223">
        <f t="shared" si="6"/>
        <v>42706408.2136686</v>
      </c>
      <c r="W40" s="251">
        <v>450000</v>
      </c>
      <c r="X40" s="190">
        <f t="shared" si="7"/>
        <v>162267532.915661</v>
      </c>
      <c r="AA40" s="255"/>
      <c r="AB40" s="255"/>
      <c r="AC40" s="255"/>
      <c r="AD40" s="255"/>
      <c r="AE40" s="255"/>
      <c r="AF40" s="255"/>
      <c r="AG40" s="255"/>
      <c r="AH40" s="255"/>
      <c r="AI40" s="255"/>
    </row>
    <row r="41" spans="2:35">
      <c r="B41" s="194" t="s">
        <v>574</v>
      </c>
      <c r="C41" s="189"/>
      <c r="D41" s="200">
        <v>0.116666666666667</v>
      </c>
      <c r="E41" s="196"/>
      <c r="F41" s="196"/>
      <c r="G41" s="183"/>
      <c r="I41" s="233" t="s">
        <v>573</v>
      </c>
      <c r="J41" s="234">
        <v>1492558.8390288</v>
      </c>
      <c r="K41" s="196">
        <f t="shared" si="9"/>
        <v>17910706.0683457</v>
      </c>
      <c r="M41" s="224">
        <f>+'I.1 Proyecciones Población'!E54/$T$6</f>
        <v>1.1967656498</v>
      </c>
      <c r="N41" s="189">
        <v>2056</v>
      </c>
      <c r="O41" s="227">
        <v>0</v>
      </c>
      <c r="P41" s="227">
        <v>0</v>
      </c>
      <c r="Q41" s="225">
        <f t="shared" si="1"/>
        <v>20318938.7428888</v>
      </c>
      <c r="R41" s="223">
        <f t="shared" si="2"/>
        <v>23469197.6497872</v>
      </c>
      <c r="S41" s="223">
        <f t="shared" si="3"/>
        <v>21120963.4333993</v>
      </c>
      <c r="T41" s="223">
        <f t="shared" si="4"/>
        <v>21925913.7571835</v>
      </c>
      <c r="U41" s="223">
        <f t="shared" si="5"/>
        <v>32281341.7009743</v>
      </c>
      <c r="V41" s="223">
        <f t="shared" si="6"/>
        <v>42711329.5612534</v>
      </c>
      <c r="W41" s="251">
        <v>450000</v>
      </c>
      <c r="X41" s="190">
        <f t="shared" si="7"/>
        <v>162277684.845487</v>
      </c>
      <c r="AA41" s="255"/>
      <c r="AB41" s="255"/>
      <c r="AC41" s="255"/>
      <c r="AD41" s="255"/>
      <c r="AE41" s="255"/>
      <c r="AF41" s="255"/>
      <c r="AG41" s="255"/>
      <c r="AH41" s="255"/>
      <c r="AI41" s="255"/>
    </row>
    <row r="42" spans="2:35">
      <c r="B42" s="194"/>
      <c r="C42" s="189" t="s">
        <v>94</v>
      </c>
      <c r="D42" s="199">
        <v>17.5</v>
      </c>
      <c r="E42" s="196"/>
      <c r="F42" s="196"/>
      <c r="G42" s="183"/>
      <c r="I42" s="233" t="s">
        <v>575</v>
      </c>
      <c r="J42" s="234">
        <v>377995.773588329</v>
      </c>
      <c r="K42" s="196">
        <f t="shared" si="9"/>
        <v>4535949.28305994</v>
      </c>
      <c r="M42" s="224">
        <f>+'I.1 Proyecciones Población'!E55/$T$6</f>
        <v>1.19642103851872</v>
      </c>
      <c r="N42" s="189">
        <v>2057</v>
      </c>
      <c r="O42" s="227">
        <v>0</v>
      </c>
      <c r="P42" s="227">
        <v>0</v>
      </c>
      <c r="Q42" s="225">
        <f t="shared" si="1"/>
        <v>20318938.7428888</v>
      </c>
      <c r="R42" s="223">
        <f t="shared" si="2"/>
        <v>23462439.6430931</v>
      </c>
      <c r="S42" s="223">
        <f t="shared" si="3"/>
        <v>21120963.4333993</v>
      </c>
      <c r="T42" s="223">
        <f t="shared" si="4"/>
        <v>21919600.142455</v>
      </c>
      <c r="U42" s="223">
        <f t="shared" si="5"/>
        <v>32281341.7009743</v>
      </c>
      <c r="V42" s="223">
        <f t="shared" si="6"/>
        <v>42699030.7406718</v>
      </c>
      <c r="W42" s="251">
        <v>450000</v>
      </c>
      <c r="X42" s="190">
        <f t="shared" si="7"/>
        <v>162252314.403482</v>
      </c>
      <c r="AA42" s="255"/>
      <c r="AB42" s="255"/>
      <c r="AC42" s="255"/>
      <c r="AD42" s="255"/>
      <c r="AE42" s="255"/>
      <c r="AF42" s="255"/>
      <c r="AG42" s="255"/>
      <c r="AH42" s="255"/>
      <c r="AI42" s="255"/>
    </row>
    <row r="43" spans="2:35">
      <c r="B43" s="194" t="s">
        <v>576</v>
      </c>
      <c r="C43" s="189" t="s">
        <v>96</v>
      </c>
      <c r="D43" s="201">
        <v>12775</v>
      </c>
      <c r="E43" s="196"/>
      <c r="F43" s="196"/>
      <c r="G43" s="183"/>
      <c r="I43" s="235" t="s">
        <v>170</v>
      </c>
      <c r="J43" s="236">
        <f>+SUM(J35:J42)</f>
        <v>5664192.37634577</v>
      </c>
      <c r="K43" s="236">
        <f>+SUM(K35:K42)</f>
        <v>67970308.5161492</v>
      </c>
      <c r="M43" s="224">
        <f>+'I.1 Proyecciones Población'!E56/$T$6</f>
        <v>1.1956059002957</v>
      </c>
      <c r="N43" s="189">
        <v>2058</v>
      </c>
      <c r="O43" s="227">
        <v>0</v>
      </c>
      <c r="P43" s="227">
        <v>0</v>
      </c>
      <c r="Q43" s="225">
        <f t="shared" si="1"/>
        <v>20318938.7428888</v>
      </c>
      <c r="R43" s="223">
        <f t="shared" si="2"/>
        <v>23446454.3580281</v>
      </c>
      <c r="S43" s="223">
        <f t="shared" si="3"/>
        <v>21120963.4333993</v>
      </c>
      <c r="T43" s="223">
        <f t="shared" si="4"/>
        <v>21904666.0153089</v>
      </c>
      <c r="U43" s="223">
        <f t="shared" si="5"/>
        <v>32281341.7009743</v>
      </c>
      <c r="V43" s="223">
        <f t="shared" si="6"/>
        <v>42669939.2996805</v>
      </c>
      <c r="W43" s="251">
        <v>450000</v>
      </c>
      <c r="X43" s="190">
        <f t="shared" si="7"/>
        <v>162192303.55028</v>
      </c>
      <c r="AA43" s="255"/>
      <c r="AB43" s="255"/>
      <c r="AC43" s="255"/>
      <c r="AD43" s="255"/>
      <c r="AE43" s="255"/>
      <c r="AF43" s="255"/>
      <c r="AG43" s="255"/>
      <c r="AH43" s="255"/>
      <c r="AI43" s="255"/>
    </row>
    <row r="44" spans="2:35">
      <c r="B44" s="194" t="s">
        <v>577</v>
      </c>
      <c r="C44" s="189" t="s">
        <v>35</v>
      </c>
      <c r="D44" s="202">
        <f>+'I. Parametros Grales'!$D$30</f>
        <v>1.66896316550926</v>
      </c>
      <c r="E44" s="196"/>
      <c r="F44" s="196"/>
      <c r="G44" s="183"/>
      <c r="I44" t="s">
        <v>1016</v>
      </c>
      <c r="K44" s="229">
        <f>+SUM(K35:K39)</f>
        <v>32281341.7009743</v>
      </c>
      <c r="M44" s="224">
        <f>+'I.1 Proyecciones Población'!E57/$T$6</f>
        <v>1.19435337083105</v>
      </c>
      <c r="N44" s="189">
        <v>2059</v>
      </c>
      <c r="O44" s="227">
        <v>0</v>
      </c>
      <c r="P44" s="227">
        <v>0</v>
      </c>
      <c r="Q44" s="225">
        <f t="shared" si="1"/>
        <v>20318938.7428888</v>
      </c>
      <c r="R44" s="223">
        <f t="shared" si="2"/>
        <v>23421891.6029282</v>
      </c>
      <c r="S44" s="223">
        <f t="shared" si="3"/>
        <v>21120963.4333993</v>
      </c>
      <c r="T44" s="223">
        <f t="shared" si="4"/>
        <v>21881718.4540844</v>
      </c>
      <c r="U44" s="223">
        <f t="shared" si="5"/>
        <v>32281341.7009743</v>
      </c>
      <c r="V44" s="223">
        <f t="shared" si="6"/>
        <v>42625237.8171817</v>
      </c>
      <c r="W44" s="251">
        <v>450000</v>
      </c>
      <c r="X44" s="190">
        <f t="shared" si="7"/>
        <v>162100091.751457</v>
      </c>
      <c r="AA44" s="255"/>
      <c r="AB44" s="255"/>
      <c r="AC44" s="255"/>
      <c r="AD44" s="255"/>
      <c r="AE44" s="255"/>
      <c r="AF44" s="255"/>
      <c r="AG44" s="255"/>
      <c r="AH44" s="255"/>
      <c r="AI44" s="255"/>
    </row>
    <row r="45" spans="2:35">
      <c r="B45" s="194" t="s">
        <v>1018</v>
      </c>
      <c r="C45" s="203">
        <f>+'I. Parametros Grales'!$D$34</f>
        <v>0.442487674727286</v>
      </c>
      <c r="D45" s="204">
        <f>+D44*C45</f>
        <v>0.738495630311683</v>
      </c>
      <c r="E45" s="195"/>
      <c r="F45" s="195"/>
      <c r="G45" s="183"/>
      <c r="I45" t="s">
        <v>1017</v>
      </c>
      <c r="K45" s="229">
        <f>+SUM(K40:K42)</f>
        <v>35688966.8151749</v>
      </c>
      <c r="M45" s="224">
        <f>+'I.1 Proyecciones Población'!E58/$T$6</f>
        <v>1.19271238900496</v>
      </c>
      <c r="N45" s="189">
        <v>2060</v>
      </c>
      <c r="O45" s="227">
        <v>0</v>
      </c>
      <c r="P45" s="227">
        <v>0</v>
      </c>
      <c r="Q45" s="225">
        <f t="shared" si="1"/>
        <v>20318938.7428888</v>
      </c>
      <c r="R45" s="223">
        <f t="shared" si="2"/>
        <v>23389711.0947204</v>
      </c>
      <c r="S45" s="223">
        <f t="shared" si="3"/>
        <v>21120963.4333993</v>
      </c>
      <c r="T45" s="223">
        <f t="shared" si="4"/>
        <v>21851654.0667903</v>
      </c>
      <c r="U45" s="223">
        <f t="shared" si="5"/>
        <v>32281341.7009743</v>
      </c>
      <c r="V45" s="223">
        <f t="shared" si="6"/>
        <v>42566672.8712461</v>
      </c>
      <c r="W45" s="251">
        <v>450000</v>
      </c>
      <c r="X45" s="190">
        <f t="shared" si="7"/>
        <v>161979281.910019</v>
      </c>
      <c r="AA45" s="255"/>
      <c r="AB45" s="255"/>
      <c r="AC45" s="255"/>
      <c r="AD45" s="255"/>
      <c r="AE45" s="255"/>
      <c r="AF45" s="255"/>
      <c r="AG45" s="255"/>
      <c r="AH45" s="255"/>
      <c r="AI45" s="255"/>
    </row>
    <row r="46" spans="2:35">
      <c r="B46" s="194" t="s">
        <v>580</v>
      </c>
      <c r="C46" s="189" t="s">
        <v>35</v>
      </c>
      <c r="D46" s="204">
        <f>+D44+D45</f>
        <v>2.40745879582094</v>
      </c>
      <c r="E46" s="195"/>
      <c r="F46" s="195"/>
      <c r="G46" s="183"/>
      <c r="M46" s="224">
        <f>+'I.1 Proyecciones Población'!E59/$T$6</f>
        <v>1.19072501166759</v>
      </c>
      <c r="N46" s="189">
        <v>2061</v>
      </c>
      <c r="O46" s="227">
        <v>0</v>
      </c>
      <c r="P46" s="227">
        <v>0</v>
      </c>
      <c r="Q46" s="225">
        <f t="shared" si="1"/>
        <v>20318938.7428888</v>
      </c>
      <c r="R46" s="223">
        <f t="shared" si="2"/>
        <v>23350737.5901389</v>
      </c>
      <c r="S46" s="223">
        <f t="shared" si="3"/>
        <v>21120963.4333993</v>
      </c>
      <c r="T46" s="223">
        <f t="shared" si="4"/>
        <v>21815243.375934</v>
      </c>
      <c r="U46" s="223">
        <f t="shared" si="5"/>
        <v>32281341.7009743</v>
      </c>
      <c r="V46" s="223">
        <f t="shared" si="6"/>
        <v>42495745.4274034</v>
      </c>
      <c r="W46" s="251">
        <v>450000</v>
      </c>
      <c r="X46" s="190">
        <f t="shared" si="7"/>
        <v>161832970.270739</v>
      </c>
      <c r="AA46" s="255"/>
      <c r="AB46" s="255"/>
      <c r="AC46" s="255"/>
      <c r="AD46" s="255"/>
      <c r="AE46" s="255"/>
      <c r="AF46" s="255"/>
      <c r="AG46" s="255"/>
      <c r="AH46" s="255"/>
      <c r="AI46" s="255"/>
    </row>
    <row r="47" spans="2:35">
      <c r="B47" s="194" t="s">
        <v>582</v>
      </c>
      <c r="C47" s="189" t="s">
        <v>90</v>
      </c>
      <c r="D47" s="205">
        <f>+D43*D46</f>
        <v>30755.2861166125</v>
      </c>
      <c r="E47" s="195"/>
      <c r="F47" s="195"/>
      <c r="G47" s="183"/>
      <c r="M47" s="224">
        <f>+'I.1 Proyecciones Población'!E60/$T$6</f>
        <v>1.18844119725912</v>
      </c>
      <c r="N47" s="189">
        <v>2062</v>
      </c>
      <c r="O47" s="227">
        <v>0</v>
      </c>
      <c r="P47" s="227">
        <v>0</v>
      </c>
      <c r="Q47" s="225">
        <f t="shared" si="1"/>
        <v>20318938.7428888</v>
      </c>
      <c r="R47" s="223">
        <f t="shared" si="2"/>
        <v>23305950.8002132</v>
      </c>
      <c r="S47" s="223">
        <f t="shared" si="3"/>
        <v>21120963.4333993</v>
      </c>
      <c r="T47" s="223">
        <f t="shared" si="4"/>
        <v>21773401.668858</v>
      </c>
      <c r="U47" s="223">
        <f t="shared" si="5"/>
        <v>32281341.7009743</v>
      </c>
      <c r="V47" s="223">
        <f t="shared" si="6"/>
        <v>42414238.4507673</v>
      </c>
      <c r="W47" s="251">
        <v>450000</v>
      </c>
      <c r="X47" s="190">
        <f t="shared" si="7"/>
        <v>161664834.797101</v>
      </c>
      <c r="AA47" s="255"/>
      <c r="AB47" s="255"/>
      <c r="AC47" s="255"/>
      <c r="AD47" s="255"/>
      <c r="AE47" s="255"/>
      <c r="AF47" s="255"/>
      <c r="AG47" s="255"/>
      <c r="AH47" s="255"/>
      <c r="AI47" s="255"/>
    </row>
    <row r="48" spans="2:35">
      <c r="B48" s="191" t="s">
        <v>1019</v>
      </c>
      <c r="C48" s="198"/>
      <c r="D48" s="206">
        <v>1</v>
      </c>
      <c r="E48" s="207">
        <f>+D47</f>
        <v>30755.2861166125</v>
      </c>
      <c r="F48" s="193">
        <f>+D48*E48</f>
        <v>30755.2861166125</v>
      </c>
      <c r="G48" s="197"/>
      <c r="M48" s="224">
        <f>+'I.1 Proyecciones Población'!E61/$T$6</f>
        <v>1.18591549223975</v>
      </c>
      <c r="N48" s="189">
        <v>2063</v>
      </c>
      <c r="O48" s="227">
        <v>0</v>
      </c>
      <c r="P48" s="227">
        <v>0</v>
      </c>
      <c r="Q48" s="225">
        <f t="shared" si="1"/>
        <v>20318938.7428888</v>
      </c>
      <c r="R48" s="223">
        <f t="shared" si="2"/>
        <v>23256420.4094349</v>
      </c>
      <c r="S48" s="223">
        <f t="shared" si="3"/>
        <v>21120963.4333993</v>
      </c>
      <c r="T48" s="223">
        <f t="shared" si="4"/>
        <v>21727128.2899053</v>
      </c>
      <c r="U48" s="223">
        <f t="shared" si="5"/>
        <v>32281341.7009743</v>
      </c>
      <c r="V48" s="223">
        <f t="shared" si="6"/>
        <v>42324098.6481461</v>
      </c>
      <c r="W48" s="251">
        <v>450000</v>
      </c>
      <c r="X48" s="190">
        <f t="shared" si="7"/>
        <v>161478891.224749</v>
      </c>
      <c r="AA48" s="255"/>
      <c r="AB48" s="255"/>
      <c r="AC48" s="255"/>
      <c r="AD48" s="255"/>
      <c r="AE48" s="255"/>
      <c r="AF48" s="255"/>
      <c r="AG48" s="255"/>
      <c r="AH48" s="255"/>
      <c r="AI48" s="255"/>
    </row>
    <row r="49" spans="2:35">
      <c r="B49" s="208" t="s">
        <v>584</v>
      </c>
      <c r="C49" s="208"/>
      <c r="D49" s="208"/>
      <c r="E49" s="208"/>
      <c r="F49" s="208"/>
      <c r="G49" s="183"/>
      <c r="I49" s="237"/>
      <c r="J49" s="237"/>
      <c r="K49" s="237"/>
      <c r="M49" s="238"/>
      <c r="N49" s="4"/>
      <c r="O49" s="239"/>
      <c r="P49" s="239"/>
      <c r="Q49" s="252"/>
      <c r="R49" s="231"/>
      <c r="S49" s="231"/>
      <c r="T49" s="231"/>
      <c r="U49" s="231"/>
      <c r="V49" s="231"/>
      <c r="W49" s="253"/>
      <c r="X49" s="232"/>
      <c r="AA49" s="255"/>
      <c r="AB49" s="255"/>
      <c r="AC49" s="255"/>
      <c r="AD49" s="255"/>
      <c r="AE49" s="255"/>
      <c r="AF49" s="255"/>
      <c r="AG49" s="255"/>
      <c r="AH49" s="255"/>
      <c r="AI49" s="255"/>
    </row>
    <row r="50" spans="2:35">
      <c r="B50" s="194" t="s">
        <v>585</v>
      </c>
      <c r="C50" s="209" t="s">
        <v>561</v>
      </c>
      <c r="D50" s="209">
        <v>1</v>
      </c>
      <c r="E50" s="210">
        <v>12500</v>
      </c>
      <c r="F50" s="210">
        <v>12500</v>
      </c>
      <c r="G50" s="183"/>
      <c r="J50" s="229"/>
      <c r="K50" s="240"/>
      <c r="M50" s="241"/>
      <c r="N50" s="4"/>
      <c r="O50" s="239"/>
      <c r="P50" s="239"/>
      <c r="Q50" s="252"/>
      <c r="R50" s="231"/>
      <c r="S50" s="231"/>
      <c r="T50" s="231"/>
      <c r="U50" s="231"/>
      <c r="V50" s="231"/>
      <c r="W50" s="253"/>
      <c r="X50" s="232"/>
      <c r="AA50" s="255"/>
      <c r="AB50" s="255"/>
      <c r="AC50" s="255"/>
      <c r="AD50" s="255"/>
      <c r="AE50" s="255"/>
      <c r="AF50" s="255"/>
      <c r="AG50" s="255"/>
      <c r="AH50" s="255"/>
      <c r="AI50" s="255"/>
    </row>
    <row r="51" spans="2:35">
      <c r="B51" s="192" t="s">
        <v>586</v>
      </c>
      <c r="C51" s="211"/>
      <c r="D51" s="206">
        <v>1</v>
      </c>
      <c r="E51" s="212">
        <f>+F50</f>
        <v>12500</v>
      </c>
      <c r="F51" s="212">
        <f>+D51*E51</f>
        <v>12500</v>
      </c>
      <c r="G51" s="197"/>
      <c r="M51" s="241"/>
      <c r="N51" s="4"/>
      <c r="O51" s="239"/>
      <c r="P51" s="239"/>
      <c r="Q51" s="252"/>
      <c r="R51" s="231"/>
      <c r="S51" s="231"/>
      <c r="T51" s="231"/>
      <c r="U51" s="231"/>
      <c r="V51" s="231"/>
      <c r="W51" s="253"/>
      <c r="X51" s="232"/>
      <c r="AA51" s="255"/>
      <c r="AB51" s="255"/>
      <c r="AC51" s="255"/>
      <c r="AD51" s="255"/>
      <c r="AE51" s="255"/>
      <c r="AF51" s="255"/>
      <c r="AG51" s="255"/>
      <c r="AH51" s="255"/>
      <c r="AI51" s="255"/>
    </row>
    <row r="52" spans="2:35">
      <c r="B52" s="184" t="s">
        <v>587</v>
      </c>
      <c r="C52" s="184"/>
      <c r="D52" s="184"/>
      <c r="E52" s="184"/>
      <c r="F52" s="184"/>
      <c r="G52" s="183"/>
      <c r="M52" s="241"/>
      <c r="N52" s="4"/>
      <c r="O52" s="239"/>
      <c r="P52" s="239"/>
      <c r="Q52" s="252"/>
      <c r="R52" s="231"/>
      <c r="S52" s="231"/>
      <c r="T52" s="231"/>
      <c r="U52" s="231"/>
      <c r="V52" s="231"/>
      <c r="W52" s="253"/>
      <c r="X52" s="232"/>
      <c r="AA52" s="255"/>
      <c r="AB52" s="255"/>
      <c r="AC52" s="255"/>
      <c r="AD52" s="255"/>
      <c r="AE52" s="255"/>
      <c r="AF52" s="255"/>
      <c r="AG52" s="255"/>
      <c r="AH52" s="255"/>
      <c r="AI52" s="255"/>
    </row>
    <row r="53" spans="2:35">
      <c r="B53" s="194" t="s">
        <v>588</v>
      </c>
      <c r="C53" s="209" t="s">
        <v>16</v>
      </c>
      <c r="D53" s="209">
        <v>200</v>
      </c>
      <c r="E53" s="210">
        <v>2000</v>
      </c>
      <c r="F53" s="210">
        <v>400000</v>
      </c>
      <c r="G53" s="183"/>
      <c r="M53" s="241"/>
      <c r="N53" s="4"/>
      <c r="O53" s="239"/>
      <c r="P53" s="239"/>
      <c r="Q53" s="252"/>
      <c r="R53" s="231"/>
      <c r="S53" s="231"/>
      <c r="T53" s="231"/>
      <c r="U53" s="231"/>
      <c r="V53" s="231"/>
      <c r="W53" s="253"/>
      <c r="X53" s="232"/>
      <c r="AA53" s="255"/>
      <c r="AB53" s="255"/>
      <c r="AC53" s="255"/>
      <c r="AD53" s="255"/>
      <c r="AE53" s="255"/>
      <c r="AF53" s="255"/>
      <c r="AG53" s="255"/>
      <c r="AH53" s="255"/>
      <c r="AI53" s="255"/>
    </row>
    <row r="54" spans="2:35">
      <c r="B54" s="194" t="s">
        <v>589</v>
      </c>
      <c r="C54" s="209" t="s">
        <v>16</v>
      </c>
      <c r="D54" s="209">
        <v>200</v>
      </c>
      <c r="E54" s="210">
        <v>1750</v>
      </c>
      <c r="F54" s="210">
        <v>350000</v>
      </c>
      <c r="G54" s="183"/>
      <c r="M54" s="241"/>
      <c r="N54" s="4"/>
      <c r="O54" s="239"/>
      <c r="P54" s="239"/>
      <c r="Q54" s="252"/>
      <c r="R54" s="231"/>
      <c r="S54" s="231"/>
      <c r="T54" s="231"/>
      <c r="U54" s="231"/>
      <c r="V54" s="231"/>
      <c r="W54" s="253"/>
      <c r="X54" s="232"/>
      <c r="AA54" s="255"/>
      <c r="AB54" s="255"/>
      <c r="AC54" s="255"/>
      <c r="AD54" s="255"/>
      <c r="AE54" s="255"/>
      <c r="AF54" s="255"/>
      <c r="AG54" s="255"/>
      <c r="AH54" s="255"/>
      <c r="AI54" s="255"/>
    </row>
    <row r="55" spans="2:35">
      <c r="B55" s="194" t="s">
        <v>590</v>
      </c>
      <c r="C55" s="209" t="s">
        <v>16</v>
      </c>
      <c r="D55" s="209">
        <v>200</v>
      </c>
      <c r="E55" s="210">
        <v>1200</v>
      </c>
      <c r="F55" s="210">
        <v>240000</v>
      </c>
      <c r="G55" s="183"/>
      <c r="M55" s="241"/>
      <c r="N55" s="4"/>
      <c r="O55" s="239"/>
      <c r="P55" s="239"/>
      <c r="Q55" s="252"/>
      <c r="R55" s="231"/>
      <c r="S55" s="231"/>
      <c r="T55" s="231"/>
      <c r="U55" s="231"/>
      <c r="V55" s="231"/>
      <c r="W55" s="253"/>
      <c r="X55" s="232"/>
      <c r="AA55" s="255"/>
      <c r="AB55" s="255"/>
      <c r="AC55" s="255"/>
      <c r="AD55" s="255"/>
      <c r="AE55" s="255"/>
      <c r="AF55" s="255"/>
      <c r="AG55" s="255"/>
      <c r="AH55" s="255"/>
      <c r="AI55" s="255"/>
    </row>
    <row r="56" spans="2:35">
      <c r="B56" s="194" t="s">
        <v>591</v>
      </c>
      <c r="C56" s="209" t="s">
        <v>16</v>
      </c>
      <c r="D56" s="209">
        <v>200</v>
      </c>
      <c r="E56" s="210">
        <v>600</v>
      </c>
      <c r="F56" s="210">
        <v>120000</v>
      </c>
      <c r="G56" s="183"/>
      <c r="M56" s="241"/>
      <c r="N56" s="4"/>
      <c r="O56" s="239"/>
      <c r="P56" s="239"/>
      <c r="Q56" s="252"/>
      <c r="R56" s="231"/>
      <c r="S56" s="231"/>
      <c r="T56" s="231"/>
      <c r="U56" s="231"/>
      <c r="V56" s="231"/>
      <c r="W56" s="253"/>
      <c r="X56" s="232"/>
      <c r="AA56" s="255"/>
      <c r="AB56" s="255"/>
      <c r="AC56" s="255"/>
      <c r="AD56" s="255"/>
      <c r="AE56" s="255"/>
      <c r="AF56" s="255"/>
      <c r="AG56" s="255"/>
      <c r="AH56" s="255"/>
      <c r="AI56" s="255"/>
    </row>
    <row r="57" spans="2:7">
      <c r="B57" s="213" t="s">
        <v>592</v>
      </c>
      <c r="C57" s="214"/>
      <c r="D57" s="185">
        <v>1</v>
      </c>
      <c r="E57" s="215">
        <f>+SUM(F53:F56)</f>
        <v>1110000</v>
      </c>
      <c r="F57" s="215">
        <v>1110000</v>
      </c>
      <c r="G57" s="197"/>
    </row>
    <row r="58" spans="2:7">
      <c r="B58" s="184" t="s">
        <v>593</v>
      </c>
      <c r="C58" s="185"/>
      <c r="D58" s="185"/>
      <c r="E58" s="185"/>
      <c r="F58" s="186"/>
      <c r="G58" s="183"/>
    </row>
    <row r="59" spans="2:7">
      <c r="B59" s="216" t="s">
        <v>594</v>
      </c>
      <c r="C59" s="217"/>
      <c r="D59" s="217"/>
      <c r="E59" s="217"/>
      <c r="F59" s="218"/>
      <c r="G59" s="183"/>
    </row>
    <row r="60" spans="2:7">
      <c r="B60" s="187" t="s">
        <v>588</v>
      </c>
      <c r="C60" s="189" t="s">
        <v>595</v>
      </c>
      <c r="D60" s="196">
        <v>10000</v>
      </c>
      <c r="E60" s="195">
        <v>19.8275862068966</v>
      </c>
      <c r="F60" s="196">
        <v>198275.862068966</v>
      </c>
      <c r="G60" s="219"/>
    </row>
    <row r="61" spans="2:7">
      <c r="B61" s="187" t="s">
        <v>596</v>
      </c>
      <c r="C61" s="189" t="s">
        <v>595</v>
      </c>
      <c r="D61" s="196">
        <v>10000</v>
      </c>
      <c r="E61" s="195">
        <v>19.8275862068966</v>
      </c>
      <c r="F61" s="196">
        <v>198275.862068966</v>
      </c>
      <c r="G61" s="219"/>
    </row>
    <row r="62" spans="2:7">
      <c r="B62" s="187" t="s">
        <v>597</v>
      </c>
      <c r="C62" s="189" t="s">
        <v>595</v>
      </c>
      <c r="D62" s="196">
        <v>8000</v>
      </c>
      <c r="E62" s="195">
        <v>19.8275862068966</v>
      </c>
      <c r="F62" s="196">
        <v>158620.689655172</v>
      </c>
      <c r="G62" s="219"/>
    </row>
    <row r="63" spans="2:7">
      <c r="B63" s="187" t="s">
        <v>591</v>
      </c>
      <c r="C63" s="189" t="s">
        <v>595</v>
      </c>
      <c r="D63" s="196">
        <v>5000</v>
      </c>
      <c r="E63" s="195">
        <v>19.8275862068966</v>
      </c>
      <c r="F63" s="196">
        <v>99137.9310344828</v>
      </c>
      <c r="G63" s="219"/>
    </row>
    <row r="64" spans="2:7">
      <c r="B64" s="187" t="s">
        <v>598</v>
      </c>
      <c r="C64" s="189" t="s">
        <v>595</v>
      </c>
      <c r="D64" s="196">
        <v>16000</v>
      </c>
      <c r="E64" s="195">
        <v>19.8275862068966</v>
      </c>
      <c r="F64" s="196">
        <v>317241.379310345</v>
      </c>
      <c r="G64" s="219"/>
    </row>
    <row r="65" spans="2:7">
      <c r="B65" s="187" t="s">
        <v>599</v>
      </c>
      <c r="C65" s="189" t="s">
        <v>595</v>
      </c>
      <c r="D65" s="196">
        <v>6000</v>
      </c>
      <c r="E65" s="195">
        <v>19.8275862068966</v>
      </c>
      <c r="F65" s="196">
        <v>118965.517241379</v>
      </c>
      <c r="G65" s="219"/>
    </row>
    <row r="66" spans="2:7">
      <c r="B66" s="187" t="s">
        <v>600</v>
      </c>
      <c r="C66" s="189" t="s">
        <v>595</v>
      </c>
      <c r="D66" s="256">
        <v>0.2</v>
      </c>
      <c r="E66" s="210">
        <v>1090517.24137931</v>
      </c>
      <c r="F66" s="196">
        <v>218103.448275862</v>
      </c>
      <c r="G66" s="183"/>
    </row>
    <row r="67" spans="2:7">
      <c r="B67" s="191" t="s">
        <v>601</v>
      </c>
      <c r="C67" s="257"/>
      <c r="D67" s="258">
        <v>1</v>
      </c>
      <c r="E67" s="212">
        <f>+SUM(F60:F66)</f>
        <v>1308620.68965517</v>
      </c>
      <c r="F67" s="212">
        <f>+D67*E67</f>
        <v>1308620.68965517</v>
      </c>
      <c r="G67" s="197"/>
    </row>
    <row r="68" spans="2:7">
      <c r="B68" s="259" t="s">
        <v>602</v>
      </c>
      <c r="C68" s="260"/>
      <c r="D68" s="260"/>
      <c r="E68" s="260"/>
      <c r="F68" s="261"/>
      <c r="G68" s="183"/>
    </row>
    <row r="69" spans="2:7">
      <c r="B69" s="187" t="s">
        <v>602</v>
      </c>
      <c r="C69" s="262" t="s">
        <v>561</v>
      </c>
      <c r="D69" s="263">
        <v>0.2</v>
      </c>
      <c r="E69" s="264">
        <v>1090636.20689655</v>
      </c>
      <c r="F69" s="265">
        <v>218127.24137931</v>
      </c>
      <c r="G69" s="183"/>
    </row>
    <row r="70" spans="2:7">
      <c r="B70" s="266" t="s">
        <v>603</v>
      </c>
      <c r="C70" s="211"/>
      <c r="D70" s="267"/>
      <c r="E70" s="212">
        <v>1090636.20689655</v>
      </c>
      <c r="F70" s="193">
        <v>218127.24137931</v>
      </c>
      <c r="G70" s="197"/>
    </row>
    <row r="71" spans="2:7">
      <c r="B71" s="268" t="s">
        <v>604</v>
      </c>
      <c r="C71" s="269"/>
      <c r="D71" s="270"/>
      <c r="E71" s="271">
        <v>37.1757608961418</v>
      </c>
      <c r="F71" s="272">
        <v>6.19596014935697</v>
      </c>
      <c r="G71" s="183"/>
    </row>
    <row r="72" spans="2:7">
      <c r="B72" s="268" t="s">
        <v>605</v>
      </c>
      <c r="C72" s="269"/>
      <c r="D72" s="270"/>
      <c r="E72" s="271"/>
      <c r="F72" s="273">
        <v>0.838124638863165</v>
      </c>
      <c r="G72" s="183"/>
    </row>
    <row r="73" spans="2:7">
      <c r="B73" t="s">
        <v>8</v>
      </c>
      <c r="G73" s="183"/>
    </row>
    <row r="74" spans="7:7">
      <c r="G74" s="183"/>
    </row>
    <row r="75" spans="2:7">
      <c r="B75" t="s">
        <v>606</v>
      </c>
      <c r="G75" s="274"/>
    </row>
    <row r="76" spans="2:7">
      <c r="B76" s="275" t="s">
        <v>10</v>
      </c>
      <c r="C76" s="275" t="s">
        <v>11</v>
      </c>
      <c r="D76" s="275" t="s">
        <v>12</v>
      </c>
      <c r="E76" s="275" t="s">
        <v>493</v>
      </c>
      <c r="F76" s="275" t="s">
        <v>607</v>
      </c>
      <c r="G76" s="274"/>
    </row>
    <row r="77" spans="2:7">
      <c r="B77" s="184" t="s">
        <v>522</v>
      </c>
      <c r="C77" s="185"/>
      <c r="D77" s="185"/>
      <c r="E77" s="185"/>
      <c r="F77" s="186"/>
      <c r="G77" s="274"/>
    </row>
    <row r="78" spans="2:7">
      <c r="B78" s="194" t="s">
        <v>608</v>
      </c>
      <c r="C78" s="209" t="s">
        <v>527</v>
      </c>
      <c r="D78" s="209">
        <v>1</v>
      </c>
      <c r="E78" s="196">
        <v>36250</v>
      </c>
      <c r="F78" s="210">
        <v>36250</v>
      </c>
      <c r="G78" s="274"/>
    </row>
    <row r="79" spans="2:7">
      <c r="B79" s="194" t="s">
        <v>609</v>
      </c>
      <c r="C79" s="209" t="s">
        <v>527</v>
      </c>
      <c r="D79" s="209">
        <v>1</v>
      </c>
      <c r="E79" s="196">
        <v>24750</v>
      </c>
      <c r="F79" s="210">
        <v>24750</v>
      </c>
      <c r="G79" s="274"/>
    </row>
    <row r="80" spans="2:7">
      <c r="B80" s="194" t="s">
        <v>610</v>
      </c>
      <c r="C80" s="209" t="s">
        <v>527</v>
      </c>
      <c r="D80" s="209">
        <v>1</v>
      </c>
      <c r="E80" s="196">
        <v>16500</v>
      </c>
      <c r="F80" s="210">
        <v>16500</v>
      </c>
      <c r="G80" s="274"/>
    </row>
    <row r="81" spans="2:7">
      <c r="B81" s="194" t="s">
        <v>611</v>
      </c>
      <c r="C81" s="209" t="s">
        <v>527</v>
      </c>
      <c r="D81" s="209">
        <v>1</v>
      </c>
      <c r="E81" s="196">
        <v>13200</v>
      </c>
      <c r="F81" s="210">
        <v>13200</v>
      </c>
      <c r="G81" s="274"/>
    </row>
    <row r="82" spans="2:7">
      <c r="B82" s="194" t="s">
        <v>612</v>
      </c>
      <c r="C82" s="209" t="s">
        <v>527</v>
      </c>
      <c r="D82" s="209">
        <v>2</v>
      </c>
      <c r="E82" s="196">
        <v>16500</v>
      </c>
      <c r="F82" s="210">
        <v>33000</v>
      </c>
      <c r="G82" s="274"/>
    </row>
    <row r="83" spans="2:7">
      <c r="B83" s="276" t="s">
        <v>543</v>
      </c>
      <c r="C83" s="192"/>
      <c r="D83" s="206">
        <v>1</v>
      </c>
      <c r="E83" s="212">
        <f>+SUM(F78:F82)</f>
        <v>123700</v>
      </c>
      <c r="F83" s="212">
        <f>+D83*E83</f>
        <v>123700</v>
      </c>
      <c r="G83" s="274"/>
    </row>
    <row r="84" spans="2:7">
      <c r="B84" s="184" t="s">
        <v>545</v>
      </c>
      <c r="C84" s="185"/>
      <c r="D84" s="185"/>
      <c r="E84" s="185"/>
      <c r="F84" s="186"/>
      <c r="G84" s="274"/>
    </row>
    <row r="85" spans="2:7">
      <c r="B85" s="194" t="s">
        <v>547</v>
      </c>
      <c r="C85" s="209" t="s">
        <v>527</v>
      </c>
      <c r="D85" s="209">
        <v>1</v>
      </c>
      <c r="E85" s="196">
        <v>20625</v>
      </c>
      <c r="F85" s="210">
        <v>20625</v>
      </c>
      <c r="G85" s="274"/>
    </row>
    <row r="86" spans="2:7">
      <c r="B86" s="194" t="s">
        <v>613</v>
      </c>
      <c r="C86" s="209" t="s">
        <v>527</v>
      </c>
      <c r="D86" s="209">
        <v>1</v>
      </c>
      <c r="E86" s="196">
        <v>10725</v>
      </c>
      <c r="F86" s="210">
        <v>10725</v>
      </c>
      <c r="G86" s="274"/>
    </row>
    <row r="87" spans="2:7">
      <c r="B87" s="276" t="s">
        <v>558</v>
      </c>
      <c r="C87" s="192"/>
      <c r="D87" s="206">
        <v>1</v>
      </c>
      <c r="E87" s="212">
        <f>+SUM(F85:F86)</f>
        <v>31350</v>
      </c>
      <c r="F87" s="212">
        <f>+D87*E87</f>
        <v>31350</v>
      </c>
      <c r="G87" s="277">
        <f>+F83+F87</f>
        <v>155050</v>
      </c>
    </row>
    <row r="88" spans="2:7">
      <c r="B88" s="184" t="s">
        <v>559</v>
      </c>
      <c r="C88" s="185"/>
      <c r="D88" s="185"/>
      <c r="E88" s="185"/>
      <c r="F88" s="186"/>
      <c r="G88" s="274"/>
    </row>
    <row r="89" spans="2:7">
      <c r="B89" s="187" t="s">
        <v>560</v>
      </c>
      <c r="C89" s="209" t="s">
        <v>561</v>
      </c>
      <c r="D89" s="189">
        <v>1</v>
      </c>
      <c r="E89" s="190">
        <v>2500</v>
      </c>
      <c r="F89" s="223">
        <v>2500</v>
      </c>
      <c r="G89" s="274"/>
    </row>
    <row r="90" spans="2:11">
      <c r="B90" s="187" t="s">
        <v>562</v>
      </c>
      <c r="C90" s="209" t="s">
        <v>561</v>
      </c>
      <c r="D90" s="189">
        <v>1</v>
      </c>
      <c r="E90" s="190">
        <v>1500</v>
      </c>
      <c r="F90" s="223">
        <v>1500</v>
      </c>
      <c r="G90" s="274"/>
      <c r="J90" s="229"/>
      <c r="K90" s="292"/>
    </row>
    <row r="91" spans="2:11">
      <c r="B91" s="187" t="s">
        <v>564</v>
      </c>
      <c r="C91" s="209" t="s">
        <v>561</v>
      </c>
      <c r="D91" s="189">
        <v>1</v>
      </c>
      <c r="E91" s="190">
        <v>1250</v>
      </c>
      <c r="F91" s="223">
        <v>1250</v>
      </c>
      <c r="G91" s="274"/>
      <c r="J91" s="229"/>
      <c r="K91" s="292"/>
    </row>
    <row r="92" ht="30" spans="2:11">
      <c r="B92" s="187" t="s">
        <v>614</v>
      </c>
      <c r="C92" s="209" t="s">
        <v>561</v>
      </c>
      <c r="D92" s="189">
        <v>1</v>
      </c>
      <c r="E92" s="190">
        <v>20000</v>
      </c>
      <c r="F92" s="223">
        <v>20000</v>
      </c>
      <c r="G92" s="274"/>
      <c r="K92" s="229"/>
    </row>
    <row r="93" spans="2:7">
      <c r="B93" s="187" t="s">
        <v>566</v>
      </c>
      <c r="C93" s="209" t="s">
        <v>561</v>
      </c>
      <c r="D93" s="189">
        <v>1</v>
      </c>
      <c r="E93" s="190">
        <v>7500</v>
      </c>
      <c r="F93" s="223">
        <v>7500</v>
      </c>
      <c r="G93" s="274"/>
    </row>
    <row r="94" spans="2:7">
      <c r="B94" s="187" t="s">
        <v>567</v>
      </c>
      <c r="C94" s="209" t="s">
        <v>561</v>
      </c>
      <c r="D94" s="189">
        <v>1</v>
      </c>
      <c r="E94" s="190">
        <v>3500</v>
      </c>
      <c r="F94" s="223">
        <v>3500</v>
      </c>
      <c r="G94" s="274"/>
    </row>
    <row r="95" spans="2:7">
      <c r="B95" s="187" t="s">
        <v>568</v>
      </c>
      <c r="C95" s="209" t="s">
        <v>561</v>
      </c>
      <c r="D95" s="189">
        <v>1</v>
      </c>
      <c r="E95" s="190">
        <v>3500</v>
      </c>
      <c r="F95" s="223">
        <v>3500</v>
      </c>
      <c r="G95" s="274"/>
    </row>
    <row r="96" spans="2:7">
      <c r="B96" s="276" t="s">
        <v>569</v>
      </c>
      <c r="C96" s="198"/>
      <c r="D96" s="206">
        <v>1</v>
      </c>
      <c r="E96" s="212">
        <f>+SUM(F89:F95)</f>
        <v>39750</v>
      </c>
      <c r="F96" s="212">
        <f>+D96*E96</f>
        <v>39750</v>
      </c>
      <c r="G96" s="277">
        <f>+F96</f>
        <v>39750</v>
      </c>
    </row>
    <row r="97" spans="2:7">
      <c r="B97" s="184" t="s">
        <v>530</v>
      </c>
      <c r="C97" s="185"/>
      <c r="D97" s="185"/>
      <c r="E97" s="185"/>
      <c r="F97" s="186"/>
      <c r="G97" s="274"/>
    </row>
    <row r="98" spans="2:7">
      <c r="B98" s="194" t="s">
        <v>615</v>
      </c>
      <c r="C98" s="189" t="s">
        <v>96</v>
      </c>
      <c r="D98" s="189">
        <v>2500</v>
      </c>
      <c r="E98" s="196"/>
      <c r="F98" s="196"/>
      <c r="G98" s="274"/>
    </row>
    <row r="99" spans="2:7">
      <c r="B99" s="194" t="s">
        <v>577</v>
      </c>
      <c r="C99" s="189" t="s">
        <v>35</v>
      </c>
      <c r="D99" s="278">
        <f>+'I. Parametros Grales'!$D$30</f>
        <v>1.66896316550926</v>
      </c>
      <c r="E99" s="196"/>
      <c r="F99" s="196"/>
      <c r="G99" s="274"/>
    </row>
    <row r="100" spans="2:7">
      <c r="B100" s="187" t="s">
        <v>1020</v>
      </c>
      <c r="C100" s="279">
        <f>+'I. Parametros Grales'!$D$34</f>
        <v>0.442487674727286</v>
      </c>
      <c r="D100" s="278">
        <f>+D99*C100</f>
        <v>0.738495630311683</v>
      </c>
      <c r="E100" s="196"/>
      <c r="F100" s="196"/>
      <c r="G100" s="274"/>
    </row>
    <row r="101" spans="2:7">
      <c r="B101" s="194" t="s">
        <v>580</v>
      </c>
      <c r="C101" s="189" t="s">
        <v>35</v>
      </c>
      <c r="D101" s="278">
        <f>+D99+D100</f>
        <v>2.40745879582094</v>
      </c>
      <c r="E101" s="196"/>
      <c r="F101" s="196"/>
      <c r="G101" s="274"/>
    </row>
    <row r="102" spans="2:7">
      <c r="B102" s="194" t="s">
        <v>582</v>
      </c>
      <c r="C102" s="189" t="s">
        <v>90</v>
      </c>
      <c r="D102" s="280">
        <f>+D98*D101</f>
        <v>6018.64698955236</v>
      </c>
      <c r="E102" s="196"/>
      <c r="F102" s="196"/>
      <c r="G102" s="274"/>
    </row>
    <row r="103" spans="2:7">
      <c r="B103" s="276" t="s">
        <v>616</v>
      </c>
      <c r="C103" s="198"/>
      <c r="D103" s="206">
        <v>1</v>
      </c>
      <c r="E103" s="212">
        <f>+D102</f>
        <v>6018.64698955236</v>
      </c>
      <c r="F103" s="212">
        <f>+D103*E103</f>
        <v>6018.64698955236</v>
      </c>
      <c r="G103" s="277">
        <f>+F103</f>
        <v>6018.64698955236</v>
      </c>
    </row>
    <row r="104" ht="14.4" customHeight="1" spans="2:7">
      <c r="B104" s="268" t="s">
        <v>617</v>
      </c>
      <c r="C104" s="268"/>
      <c r="D104" s="268"/>
      <c r="E104" s="268"/>
      <c r="F104" s="268"/>
      <c r="G104" s="274"/>
    </row>
    <row r="105" spans="2:7">
      <c r="B105" s="281" t="s">
        <v>618</v>
      </c>
      <c r="C105" s="282" t="s">
        <v>561</v>
      </c>
      <c r="D105" s="282">
        <v>1</v>
      </c>
      <c r="E105" s="283">
        <v>7500</v>
      </c>
      <c r="F105" s="283">
        <v>7500</v>
      </c>
      <c r="G105" s="274"/>
    </row>
    <row r="106" spans="2:7">
      <c r="B106" s="284" t="s">
        <v>619</v>
      </c>
      <c r="C106" s="285"/>
      <c r="D106" s="206">
        <v>1</v>
      </c>
      <c r="E106" s="193">
        <v>7500</v>
      </c>
      <c r="F106" s="193">
        <v>7500</v>
      </c>
      <c r="G106" s="277">
        <f>+F106</f>
        <v>7500</v>
      </c>
    </row>
    <row r="107" spans="2:7">
      <c r="B107" s="208" t="s">
        <v>551</v>
      </c>
      <c r="C107" s="206" t="s">
        <v>561</v>
      </c>
      <c r="D107" s="206">
        <v>1</v>
      </c>
      <c r="E107" s="193">
        <v>1484926.24825118</v>
      </c>
      <c r="F107" s="193">
        <v>1484926.24825118</v>
      </c>
      <c r="G107" s="277">
        <f>+F107</f>
        <v>1484926.24825118</v>
      </c>
    </row>
    <row r="108" spans="2:7">
      <c r="B108" s="184" t="s">
        <v>620</v>
      </c>
      <c r="C108" s="185"/>
      <c r="D108" s="185"/>
      <c r="E108" s="185"/>
      <c r="F108" s="186"/>
      <c r="G108" s="274"/>
    </row>
    <row r="109" spans="2:7">
      <c r="B109" s="6" t="s">
        <v>621</v>
      </c>
      <c r="C109" s="6"/>
      <c r="D109" s="6"/>
      <c r="E109" s="6"/>
      <c r="F109" s="6"/>
      <c r="G109" s="274"/>
    </row>
    <row r="110" spans="2:7">
      <c r="B110" s="187" t="s">
        <v>622</v>
      </c>
      <c r="C110" s="189" t="s">
        <v>16</v>
      </c>
      <c r="D110" s="196">
        <v>24730.5508806103</v>
      </c>
      <c r="E110" s="196">
        <v>103.125</v>
      </c>
      <c r="F110" s="196">
        <v>2550338.05956294</v>
      </c>
      <c r="G110" s="274"/>
    </row>
    <row r="111" spans="2:7">
      <c r="B111" s="187" t="s">
        <v>623</v>
      </c>
      <c r="C111" s="189" t="s">
        <v>624</v>
      </c>
      <c r="D111" s="196">
        <v>340045.074608392</v>
      </c>
      <c r="E111" s="196">
        <v>19.8275862068966</v>
      </c>
      <c r="F111" s="196">
        <v>6742273.03102847</v>
      </c>
      <c r="G111" s="274"/>
    </row>
    <row r="112" spans="2:7">
      <c r="B112" s="187" t="s">
        <v>600</v>
      </c>
      <c r="C112" s="189" t="s">
        <v>47</v>
      </c>
      <c r="D112" s="256">
        <v>0.2</v>
      </c>
      <c r="E112" s="196">
        <v>6742273.03102847</v>
      </c>
      <c r="F112" s="196">
        <v>1348454.60620569</v>
      </c>
      <c r="G112" s="274"/>
    </row>
    <row r="113" spans="2:7">
      <c r="B113" s="187" t="s">
        <v>625</v>
      </c>
      <c r="C113" s="189" t="s">
        <v>626</v>
      </c>
      <c r="D113" s="196">
        <v>680090.149216785</v>
      </c>
      <c r="E113" s="196">
        <v>11.8965517241379</v>
      </c>
      <c r="F113" s="196">
        <v>8090727.63723416</v>
      </c>
      <c r="G113" s="274"/>
    </row>
    <row r="114" spans="2:7">
      <c r="B114" s="286" t="s">
        <v>627</v>
      </c>
      <c r="C114" s="192"/>
      <c r="D114" s="192"/>
      <c r="E114" s="192"/>
      <c r="F114" s="193">
        <v>18731793.3340313</v>
      </c>
      <c r="G114" s="274"/>
    </row>
    <row r="115" spans="2:7">
      <c r="B115" s="286" t="s">
        <v>628</v>
      </c>
      <c r="C115" s="192"/>
      <c r="D115" s="192"/>
      <c r="E115" s="192"/>
      <c r="F115" s="193">
        <v>1560982.77783594</v>
      </c>
      <c r="G115" s="277">
        <f>+F115</f>
        <v>1560982.77783594</v>
      </c>
    </row>
    <row r="116" spans="2:7">
      <c r="B116" s="216" t="s">
        <v>629</v>
      </c>
      <c r="C116" s="217"/>
      <c r="D116" s="217"/>
      <c r="E116" s="217"/>
      <c r="F116" s="218"/>
      <c r="G116" s="274"/>
    </row>
    <row r="117" spans="2:7">
      <c r="B117" s="187" t="s">
        <v>572</v>
      </c>
      <c r="C117" s="189" t="s">
        <v>94</v>
      </c>
      <c r="D117" s="195">
        <v>150</v>
      </c>
      <c r="E117" s="195"/>
      <c r="F117" s="195"/>
      <c r="G117" s="274"/>
    </row>
    <row r="118" spans="2:7">
      <c r="B118" s="187" t="s">
        <v>574</v>
      </c>
      <c r="C118" s="189" t="s">
        <v>94</v>
      </c>
      <c r="D118" s="195">
        <v>120</v>
      </c>
      <c r="E118" s="287">
        <v>0.8</v>
      </c>
      <c r="F118" s="195"/>
      <c r="G118" s="274"/>
    </row>
    <row r="119" spans="2:7">
      <c r="B119" s="187" t="s">
        <v>630</v>
      </c>
      <c r="C119" s="189" t="s">
        <v>25</v>
      </c>
      <c r="D119" s="195">
        <v>140</v>
      </c>
      <c r="E119" s="195"/>
      <c r="F119" s="195"/>
      <c r="G119" s="274"/>
    </row>
    <row r="120" ht="30" spans="2:7">
      <c r="B120" s="187" t="s">
        <v>631</v>
      </c>
      <c r="C120" s="189" t="s">
        <v>632</v>
      </c>
      <c r="D120" s="288">
        <v>170.398511904762</v>
      </c>
      <c r="E120" s="195"/>
      <c r="F120" s="195"/>
      <c r="G120" s="274"/>
    </row>
    <row r="121" spans="2:7">
      <c r="B121" s="187" t="s">
        <v>576</v>
      </c>
      <c r="C121" s="189" t="s">
        <v>96</v>
      </c>
      <c r="D121" s="289">
        <v>20447.8214285714</v>
      </c>
      <c r="E121" s="195"/>
      <c r="F121" s="195"/>
      <c r="G121" s="274"/>
    </row>
    <row r="122" spans="2:7">
      <c r="B122" s="187" t="s">
        <v>577</v>
      </c>
      <c r="C122" s="189" t="s">
        <v>35</v>
      </c>
      <c r="D122" s="278">
        <f>+'I. Parametros Grales'!$D$30</f>
        <v>1.66896316550926</v>
      </c>
      <c r="E122" s="195"/>
      <c r="F122" s="195"/>
      <c r="G122" s="274"/>
    </row>
    <row r="123" spans="2:7">
      <c r="B123" s="187" t="s">
        <v>1020</v>
      </c>
      <c r="C123" s="279">
        <f>+'I. Parametros Grales'!$D$34</f>
        <v>0.442487674727286</v>
      </c>
      <c r="D123" s="278">
        <f>+D122*C123</f>
        <v>0.738495630311683</v>
      </c>
      <c r="E123" s="195"/>
      <c r="F123" s="195"/>
      <c r="G123" s="274"/>
    </row>
    <row r="124" spans="2:7">
      <c r="B124" s="187" t="s">
        <v>580</v>
      </c>
      <c r="C124" s="189" t="s">
        <v>35</v>
      </c>
      <c r="D124" s="290">
        <f>+D122+D123</f>
        <v>2.40745879582094</v>
      </c>
      <c r="E124" s="195"/>
      <c r="F124" s="195"/>
      <c r="G124" s="274"/>
    </row>
    <row r="125" spans="2:7">
      <c r="B125" s="187" t="s">
        <v>582</v>
      </c>
      <c r="C125" s="189" t="s">
        <v>90</v>
      </c>
      <c r="D125" s="196">
        <f>+D121*D124</f>
        <v>49227.2875535902</v>
      </c>
      <c r="E125" s="195"/>
      <c r="F125" s="195"/>
      <c r="G125" s="274"/>
    </row>
    <row r="126" spans="2:7">
      <c r="B126" s="284" t="s">
        <v>633</v>
      </c>
      <c r="C126" s="198"/>
      <c r="D126" s="192">
        <v>1</v>
      </c>
      <c r="E126" s="207">
        <f>+D125</f>
        <v>49227.2875535902</v>
      </c>
      <c r="F126" s="193">
        <f>+D126*E126</f>
        <v>49227.2875535902</v>
      </c>
      <c r="G126" s="274"/>
    </row>
    <row r="127" spans="2:7">
      <c r="B127" s="206" t="s">
        <v>634</v>
      </c>
      <c r="C127" s="206"/>
      <c r="D127" s="206"/>
      <c r="E127" s="206"/>
      <c r="F127" s="206"/>
      <c r="G127" s="274"/>
    </row>
    <row r="128" spans="2:7">
      <c r="B128" s="187" t="s">
        <v>635</v>
      </c>
      <c r="C128" s="262" t="s">
        <v>636</v>
      </c>
      <c r="D128" s="291">
        <v>600</v>
      </c>
      <c r="E128" s="291">
        <v>40</v>
      </c>
      <c r="F128" s="265">
        <v>24000</v>
      </c>
      <c r="G128" s="274"/>
    </row>
    <row r="129" spans="2:7">
      <c r="B129" s="192" t="s">
        <v>637</v>
      </c>
      <c r="C129" s="211" t="s">
        <v>636</v>
      </c>
      <c r="D129" s="192">
        <v>600</v>
      </c>
      <c r="E129" s="192">
        <v>40</v>
      </c>
      <c r="F129" s="212">
        <v>24000</v>
      </c>
      <c r="G129" s="274"/>
    </row>
    <row r="130" spans="2:7">
      <c r="B130" s="192" t="s">
        <v>1021</v>
      </c>
      <c r="C130" s="269"/>
      <c r="D130" s="293"/>
      <c r="E130" s="293"/>
      <c r="F130" s="294">
        <v>68.0996592328961</v>
      </c>
      <c r="G130" s="274"/>
    </row>
    <row r="131" spans="2:7">
      <c r="B131" s="295" t="s">
        <v>639</v>
      </c>
      <c r="G131" s="274"/>
    </row>
    <row r="132" spans="7:7">
      <c r="G132" s="274"/>
    </row>
    <row r="133" spans="2:7">
      <c r="B133" t="s">
        <v>640</v>
      </c>
      <c r="G133" s="274"/>
    </row>
    <row r="134" spans="2:7">
      <c r="B134" s="180" t="s">
        <v>10</v>
      </c>
      <c r="C134" s="180" t="s">
        <v>11</v>
      </c>
      <c r="D134" s="180" t="s">
        <v>12</v>
      </c>
      <c r="E134" s="180" t="s">
        <v>493</v>
      </c>
      <c r="F134" s="180" t="s">
        <v>607</v>
      </c>
      <c r="G134" s="274"/>
    </row>
    <row r="135" spans="2:7">
      <c r="B135" s="206" t="s">
        <v>641</v>
      </c>
      <c r="C135" s="206"/>
      <c r="D135" s="206"/>
      <c r="E135" s="206"/>
      <c r="F135" s="206"/>
      <c r="G135" s="274"/>
    </row>
    <row r="136" spans="2:7">
      <c r="B136" s="194" t="s">
        <v>642</v>
      </c>
      <c r="C136" s="195" t="s">
        <v>527</v>
      </c>
      <c r="D136" s="195">
        <v>1</v>
      </c>
      <c r="E136" s="196">
        <v>58000</v>
      </c>
      <c r="F136" s="196">
        <v>58000</v>
      </c>
      <c r="G136" s="274"/>
    </row>
    <row r="137" spans="2:7">
      <c r="B137" s="194" t="s">
        <v>643</v>
      </c>
      <c r="C137" s="195" t="s">
        <v>527</v>
      </c>
      <c r="D137" s="195">
        <v>2</v>
      </c>
      <c r="E137" s="196">
        <v>33000</v>
      </c>
      <c r="F137" s="196">
        <v>66000</v>
      </c>
      <c r="G137" s="274"/>
    </row>
    <row r="138" spans="2:7">
      <c r="B138" s="194" t="s">
        <v>612</v>
      </c>
      <c r="C138" s="195" t="s">
        <v>527</v>
      </c>
      <c r="D138" s="195">
        <v>118</v>
      </c>
      <c r="E138" s="196">
        <v>10725</v>
      </c>
      <c r="F138" s="196">
        <v>1265550</v>
      </c>
      <c r="G138" s="274"/>
    </row>
    <row r="139" spans="2:7">
      <c r="B139" s="194" t="s">
        <v>537</v>
      </c>
      <c r="C139" s="195" t="s">
        <v>527</v>
      </c>
      <c r="D139" s="195">
        <v>1</v>
      </c>
      <c r="E139" s="196">
        <v>24750</v>
      </c>
      <c r="F139" s="196">
        <v>24750</v>
      </c>
      <c r="G139" s="274"/>
    </row>
    <row r="140" spans="2:7">
      <c r="B140" s="194" t="s">
        <v>644</v>
      </c>
      <c r="C140" s="195" t="s">
        <v>527</v>
      </c>
      <c r="D140" s="195">
        <v>14</v>
      </c>
      <c r="E140" s="196">
        <v>10725</v>
      </c>
      <c r="F140" s="196">
        <v>150150</v>
      </c>
      <c r="G140" s="274"/>
    </row>
    <row r="141" spans="2:7">
      <c r="B141" s="194" t="s">
        <v>645</v>
      </c>
      <c r="C141" s="195" t="s">
        <v>527</v>
      </c>
      <c r="D141" s="195">
        <v>1</v>
      </c>
      <c r="E141" s="196">
        <v>50750</v>
      </c>
      <c r="F141" s="196">
        <v>50750</v>
      </c>
      <c r="G141" s="274"/>
    </row>
    <row r="142" spans="2:7">
      <c r="B142" s="194" t="s">
        <v>546</v>
      </c>
      <c r="C142" s="195" t="s">
        <v>527</v>
      </c>
      <c r="D142" s="195">
        <v>1</v>
      </c>
      <c r="E142" s="196">
        <v>36250</v>
      </c>
      <c r="F142" s="196">
        <v>36250</v>
      </c>
      <c r="G142" s="274"/>
    </row>
    <row r="143" spans="2:7">
      <c r="B143" s="194" t="s">
        <v>646</v>
      </c>
      <c r="C143" s="195" t="s">
        <v>527</v>
      </c>
      <c r="D143" s="195">
        <v>18</v>
      </c>
      <c r="E143" s="196">
        <v>10725</v>
      </c>
      <c r="F143" s="196">
        <v>193050</v>
      </c>
      <c r="G143" s="274"/>
    </row>
    <row r="144" spans="2:7">
      <c r="B144" s="191" t="s">
        <v>647</v>
      </c>
      <c r="C144" s="192"/>
      <c r="D144" s="193">
        <v>156</v>
      </c>
      <c r="E144" s="193">
        <v>234925</v>
      </c>
      <c r="F144" s="193">
        <v>1844500</v>
      </c>
      <c r="G144" s="277">
        <f>+F144</f>
        <v>1844500</v>
      </c>
    </row>
    <row r="145" spans="2:7">
      <c r="B145" s="206" t="s">
        <v>559</v>
      </c>
      <c r="C145" s="206"/>
      <c r="D145" s="206"/>
      <c r="E145" s="206"/>
      <c r="F145" s="206"/>
      <c r="G145" s="274"/>
    </row>
    <row r="146" spans="2:7">
      <c r="B146" s="187" t="s">
        <v>560</v>
      </c>
      <c r="C146" s="195" t="s">
        <v>561</v>
      </c>
      <c r="D146" s="195">
        <v>1</v>
      </c>
      <c r="E146" s="196">
        <v>5000</v>
      </c>
      <c r="F146" s="196">
        <v>5000</v>
      </c>
      <c r="G146" s="274"/>
    </row>
    <row r="147" spans="2:7">
      <c r="B147" s="187" t="s">
        <v>562</v>
      </c>
      <c r="C147" s="195" t="s">
        <v>561</v>
      </c>
      <c r="D147" s="195">
        <v>1</v>
      </c>
      <c r="E147" s="196">
        <v>1500</v>
      </c>
      <c r="F147" s="196">
        <v>1500</v>
      </c>
      <c r="G147" s="274"/>
    </row>
    <row r="148" spans="2:7">
      <c r="B148" s="187" t="s">
        <v>564</v>
      </c>
      <c r="C148" s="195" t="s">
        <v>561</v>
      </c>
      <c r="D148" s="195">
        <v>1</v>
      </c>
      <c r="E148" s="196">
        <v>1250</v>
      </c>
      <c r="F148" s="196">
        <v>1250</v>
      </c>
      <c r="G148" s="274"/>
    </row>
    <row r="149" ht="30" spans="2:7">
      <c r="B149" s="187" t="s">
        <v>565</v>
      </c>
      <c r="C149" s="195" t="s">
        <v>561</v>
      </c>
      <c r="D149" s="195">
        <v>1</v>
      </c>
      <c r="E149" s="196">
        <v>30000</v>
      </c>
      <c r="F149" s="196">
        <v>30000</v>
      </c>
      <c r="G149" s="274"/>
    </row>
    <row r="150" spans="2:11">
      <c r="B150" s="187" t="s">
        <v>566</v>
      </c>
      <c r="C150" s="195" t="s">
        <v>561</v>
      </c>
      <c r="D150" s="195">
        <v>1</v>
      </c>
      <c r="E150" s="196">
        <v>7500</v>
      </c>
      <c r="F150" s="196">
        <v>7500</v>
      </c>
      <c r="G150" s="274"/>
      <c r="K150" s="229"/>
    </row>
    <row r="151" spans="2:7">
      <c r="B151" s="187" t="s">
        <v>567</v>
      </c>
      <c r="C151" s="195" t="s">
        <v>561</v>
      </c>
      <c r="D151" s="195">
        <v>1</v>
      </c>
      <c r="E151" s="196">
        <v>3500</v>
      </c>
      <c r="F151" s="196">
        <v>3500</v>
      </c>
      <c r="G151" s="274"/>
    </row>
    <row r="152" spans="2:7">
      <c r="B152" s="187" t="s">
        <v>568</v>
      </c>
      <c r="C152" s="195" t="s">
        <v>561</v>
      </c>
      <c r="D152" s="195">
        <v>1</v>
      </c>
      <c r="E152" s="196">
        <v>3500</v>
      </c>
      <c r="F152" s="196">
        <v>3500</v>
      </c>
      <c r="G152" s="274"/>
    </row>
    <row r="153" spans="2:7">
      <c r="B153" s="284" t="s">
        <v>569</v>
      </c>
      <c r="C153" s="198"/>
      <c r="D153" s="192">
        <v>1</v>
      </c>
      <c r="E153" s="212">
        <f>+F153</f>
        <v>52250</v>
      </c>
      <c r="F153" s="212">
        <f>+SUM(F146:F152)</f>
        <v>52250</v>
      </c>
      <c r="G153" s="277">
        <f>+F153</f>
        <v>52250</v>
      </c>
    </row>
    <row r="154" spans="2:7">
      <c r="B154" s="208" t="s">
        <v>530</v>
      </c>
      <c r="C154" s="208"/>
      <c r="D154" s="208"/>
      <c r="E154" s="208"/>
      <c r="F154" s="208"/>
      <c r="G154" s="274"/>
    </row>
    <row r="155" spans="2:7">
      <c r="B155" s="187" t="s">
        <v>615</v>
      </c>
      <c r="C155" s="189" t="s">
        <v>96</v>
      </c>
      <c r="D155" s="296">
        <v>4500</v>
      </c>
      <c r="E155" s="195"/>
      <c r="F155" s="195"/>
      <c r="G155" s="274"/>
    </row>
    <row r="156" spans="2:7">
      <c r="B156" s="187" t="s">
        <v>577</v>
      </c>
      <c r="C156" s="189" t="s">
        <v>35</v>
      </c>
      <c r="D156" s="278">
        <f>+'I. Parametros Grales'!$D$30</f>
        <v>1.66896316550926</v>
      </c>
      <c r="E156" s="195"/>
      <c r="F156" s="195"/>
      <c r="G156" s="274"/>
    </row>
    <row r="157" spans="2:7">
      <c r="B157" s="187" t="s">
        <v>1020</v>
      </c>
      <c r="C157" s="279">
        <f>+'I. Parametros Grales'!$D$34</f>
        <v>0.442487674727286</v>
      </c>
      <c r="D157" s="278">
        <f>+D156*C157</f>
        <v>0.738495630311683</v>
      </c>
      <c r="E157" s="195"/>
      <c r="F157" s="195"/>
      <c r="G157" s="274"/>
    </row>
    <row r="158" spans="2:7">
      <c r="B158" s="187" t="s">
        <v>580</v>
      </c>
      <c r="C158" s="189" t="s">
        <v>35</v>
      </c>
      <c r="D158" s="290">
        <f>+D156+D157</f>
        <v>2.40745879582094</v>
      </c>
      <c r="E158" s="195"/>
      <c r="F158" s="195"/>
      <c r="G158" s="274"/>
    </row>
    <row r="159" spans="2:7">
      <c r="B159" s="187" t="s">
        <v>582</v>
      </c>
      <c r="C159" s="189" t="s">
        <v>90</v>
      </c>
      <c r="D159" s="196">
        <f>+D155*D158</f>
        <v>10833.5645811942</v>
      </c>
      <c r="E159" s="195"/>
      <c r="F159" s="195"/>
      <c r="G159" s="274"/>
    </row>
    <row r="160" spans="2:7">
      <c r="B160" s="284" t="s">
        <v>648</v>
      </c>
      <c r="C160" s="198"/>
      <c r="D160" s="192">
        <v>1</v>
      </c>
      <c r="E160" s="193">
        <f>+D159</f>
        <v>10833.5645811942</v>
      </c>
      <c r="F160" s="193">
        <f>+D160*E160</f>
        <v>10833.5645811942</v>
      </c>
      <c r="G160" s="277">
        <f>+F160</f>
        <v>10833.5645811942</v>
      </c>
    </row>
    <row r="161" ht="14.4" customHeight="1" spans="2:7">
      <c r="B161" s="208" t="s">
        <v>617</v>
      </c>
      <c r="C161" s="208"/>
      <c r="D161" s="208"/>
      <c r="E161" s="208"/>
      <c r="F161" s="208"/>
      <c r="G161" s="274"/>
    </row>
    <row r="162" spans="2:7">
      <c r="B162" s="187" t="s">
        <v>618</v>
      </c>
      <c r="C162" s="227" t="s">
        <v>561</v>
      </c>
      <c r="D162" s="195">
        <v>1</v>
      </c>
      <c r="E162" s="196">
        <v>7500</v>
      </c>
      <c r="F162" s="196">
        <v>7500</v>
      </c>
      <c r="G162" s="274"/>
    </row>
    <row r="163" spans="2:7">
      <c r="B163" s="284" t="s">
        <v>619</v>
      </c>
      <c r="C163" s="198"/>
      <c r="D163" s="193">
        <v>1</v>
      </c>
      <c r="E163" s="193">
        <f>+F162</f>
        <v>7500</v>
      </c>
      <c r="F163" s="212">
        <f>+D163*E163</f>
        <v>7500</v>
      </c>
      <c r="G163" s="277">
        <f>+F163</f>
        <v>7500</v>
      </c>
    </row>
    <row r="164" spans="2:7">
      <c r="B164" s="208" t="s">
        <v>570</v>
      </c>
      <c r="C164" s="208"/>
      <c r="D164" s="208"/>
      <c r="E164" s="208"/>
      <c r="F164" s="208"/>
      <c r="G164" s="274"/>
    </row>
    <row r="165" ht="30" spans="2:7">
      <c r="B165" s="187" t="s">
        <v>649</v>
      </c>
      <c r="C165" s="189" t="s">
        <v>561</v>
      </c>
      <c r="D165" s="203">
        <v>0.00166666666666667</v>
      </c>
      <c r="E165" s="190">
        <v>261186439</v>
      </c>
      <c r="F165" s="223">
        <v>435310.731666667</v>
      </c>
      <c r="G165" s="274"/>
    </row>
    <row r="166" spans="2:7">
      <c r="B166" s="187" t="s">
        <v>650</v>
      </c>
      <c r="C166" s="189" t="s">
        <v>561</v>
      </c>
      <c r="D166" s="297">
        <v>0.2</v>
      </c>
      <c r="E166" s="196">
        <v>435310.731666667</v>
      </c>
      <c r="F166" s="289">
        <v>87062.1463333333</v>
      </c>
      <c r="G166" s="274"/>
    </row>
    <row r="167" spans="2:7">
      <c r="B167" s="187" t="s">
        <v>651</v>
      </c>
      <c r="C167" s="189" t="s">
        <v>652</v>
      </c>
      <c r="D167" s="189">
        <v>5</v>
      </c>
      <c r="E167" s="196">
        <v>7000</v>
      </c>
      <c r="F167" s="210">
        <v>35000</v>
      </c>
      <c r="G167" s="274"/>
    </row>
    <row r="168" spans="2:7">
      <c r="B168" s="187" t="s">
        <v>653</v>
      </c>
      <c r="C168" s="189" t="s">
        <v>561</v>
      </c>
      <c r="D168" s="203">
        <v>0.00833333333333333</v>
      </c>
      <c r="E168" s="196">
        <v>26118643.9</v>
      </c>
      <c r="F168" s="210">
        <v>217655.365833333</v>
      </c>
      <c r="G168" s="274"/>
    </row>
    <row r="169" spans="2:7">
      <c r="B169" s="284" t="s">
        <v>654</v>
      </c>
      <c r="C169" s="198"/>
      <c r="D169" s="193">
        <v>1</v>
      </c>
      <c r="E169" s="193">
        <f>+SUM(F165:F168)</f>
        <v>775028.243833333</v>
      </c>
      <c r="F169" s="193">
        <f>+D169*E169</f>
        <v>775028.243833333</v>
      </c>
      <c r="G169" s="277">
        <f>+F169</f>
        <v>775028.243833333</v>
      </c>
    </row>
    <row r="170" spans="2:7">
      <c r="B170" s="208" t="s">
        <v>620</v>
      </c>
      <c r="C170" s="208"/>
      <c r="D170" s="208"/>
      <c r="E170" s="208"/>
      <c r="F170" s="208"/>
      <c r="G170" s="274"/>
    </row>
    <row r="171" spans="2:7">
      <c r="B171" s="208" t="s">
        <v>655</v>
      </c>
      <c r="C171" s="208"/>
      <c r="D171" s="208"/>
      <c r="E171" s="208"/>
      <c r="F171" s="208"/>
      <c r="G171" s="274"/>
    </row>
    <row r="172" spans="2:7">
      <c r="B172" s="187" t="s">
        <v>576</v>
      </c>
      <c r="C172" s="189" t="s">
        <v>96</v>
      </c>
      <c r="D172" s="225">
        <v>458377.92</v>
      </c>
      <c r="E172" s="195"/>
      <c r="F172" s="195"/>
      <c r="G172" s="274"/>
    </row>
    <row r="173" spans="2:7">
      <c r="B173" s="187" t="s">
        <v>577</v>
      </c>
      <c r="C173" s="189" t="s">
        <v>35</v>
      </c>
      <c r="D173" s="278">
        <f>+'I. Parametros Grales'!$D$30</f>
        <v>1.66896316550926</v>
      </c>
      <c r="E173" s="195"/>
      <c r="F173" s="195"/>
      <c r="G173" s="274"/>
    </row>
    <row r="174" spans="2:7">
      <c r="B174" s="187" t="s">
        <v>1020</v>
      </c>
      <c r="C174" s="279">
        <f>+'I. Parametros Grales'!$D$34</f>
        <v>0.442487674727286</v>
      </c>
      <c r="D174" s="278">
        <f>+D173*C174</f>
        <v>0.738495630311683</v>
      </c>
      <c r="E174" s="195"/>
      <c r="F174" s="195"/>
      <c r="G174" s="274"/>
    </row>
    <row r="175" spans="2:7">
      <c r="B175" s="187" t="s">
        <v>580</v>
      </c>
      <c r="C175" s="189" t="s">
        <v>35</v>
      </c>
      <c r="D175" s="290">
        <f>+D173+D174</f>
        <v>2.40745879582094</v>
      </c>
      <c r="E175" s="195"/>
      <c r="F175" s="195"/>
      <c r="G175" s="274"/>
    </row>
    <row r="176" spans="2:7">
      <c r="B176" s="284" t="s">
        <v>633</v>
      </c>
      <c r="C176" s="198"/>
      <c r="D176" s="192">
        <v>1</v>
      </c>
      <c r="E176" s="193">
        <f>+D172*D175</f>
        <v>1103525.95531411</v>
      </c>
      <c r="F176" s="193">
        <f>+D176*E176</f>
        <v>1103525.95531411</v>
      </c>
      <c r="G176" s="277">
        <f>+F176</f>
        <v>1103525.95531411</v>
      </c>
    </row>
    <row r="177" spans="2:7">
      <c r="B177" s="208" t="s">
        <v>656</v>
      </c>
      <c r="C177" s="208"/>
      <c r="D177" s="208"/>
      <c r="E177" s="208"/>
      <c r="F177" s="208"/>
      <c r="G177" s="274"/>
    </row>
    <row r="178" spans="2:7">
      <c r="B178" s="187" t="s">
        <v>657</v>
      </c>
      <c r="C178" s="189" t="s">
        <v>658</v>
      </c>
      <c r="D178" s="298">
        <v>412508.4</v>
      </c>
      <c r="E178" s="195"/>
      <c r="F178" s="195"/>
      <c r="G178" s="274"/>
    </row>
    <row r="179" spans="2:7">
      <c r="B179" s="187" t="s">
        <v>659</v>
      </c>
      <c r="C179" s="189" t="s">
        <v>660</v>
      </c>
      <c r="D179" s="196">
        <v>5527.99570010668</v>
      </c>
      <c r="E179" s="195"/>
      <c r="F179" s="195"/>
      <c r="G179" s="274"/>
    </row>
    <row r="180" spans="2:7">
      <c r="B180" s="187" t="s">
        <v>661</v>
      </c>
      <c r="C180" s="189" t="s">
        <v>662</v>
      </c>
      <c r="D180" s="195">
        <v>270</v>
      </c>
      <c r="E180" s="195"/>
      <c r="F180" s="195"/>
      <c r="G180" s="274"/>
    </row>
    <row r="181" spans="2:7">
      <c r="B181" s="284" t="s">
        <v>663</v>
      </c>
      <c r="C181" s="198"/>
      <c r="D181" s="193"/>
      <c r="E181" s="193">
        <v>270</v>
      </c>
      <c r="F181" s="193">
        <v>1492558.8390288</v>
      </c>
      <c r="G181" s="277">
        <f>+F181</f>
        <v>1492558.8390288</v>
      </c>
    </row>
    <row r="182" spans="2:7">
      <c r="B182" s="208" t="s">
        <v>664</v>
      </c>
      <c r="C182" s="208"/>
      <c r="D182" s="208"/>
      <c r="E182" s="208"/>
      <c r="F182" s="208"/>
      <c r="G182" s="274"/>
    </row>
    <row r="183" spans="2:7">
      <c r="B183" s="194" t="s">
        <v>665</v>
      </c>
      <c r="C183" s="189" t="s">
        <v>666</v>
      </c>
      <c r="D183" s="298">
        <v>412508.4</v>
      </c>
      <c r="E183" s="195"/>
      <c r="F183" s="195"/>
      <c r="G183" s="274"/>
    </row>
    <row r="184" spans="2:7">
      <c r="B184" s="299" t="s">
        <v>667</v>
      </c>
      <c r="C184" s="189" t="s">
        <v>668</v>
      </c>
      <c r="D184" s="196">
        <v>1130.16</v>
      </c>
      <c r="E184" s="195"/>
      <c r="F184" s="195"/>
      <c r="G184" s="274"/>
    </row>
    <row r="185" spans="2:7">
      <c r="B185" s="299"/>
      <c r="C185" s="189" t="s">
        <v>669</v>
      </c>
      <c r="D185" s="289">
        <v>183.266946121984</v>
      </c>
      <c r="E185" s="195"/>
      <c r="F185" s="195"/>
      <c r="G185" s="274"/>
    </row>
    <row r="186" spans="2:7">
      <c r="B186" s="299"/>
      <c r="C186" s="189" t="s">
        <v>670</v>
      </c>
      <c r="D186" s="196">
        <v>207120.971829221</v>
      </c>
      <c r="E186" s="195"/>
      <c r="F186" s="195"/>
      <c r="G186" s="274"/>
    </row>
    <row r="187" spans="2:7">
      <c r="B187" s="299"/>
      <c r="C187" s="189" t="s">
        <v>671</v>
      </c>
      <c r="D187" s="196">
        <v>6299.92955980548</v>
      </c>
      <c r="E187" s="195"/>
      <c r="F187" s="195"/>
      <c r="G187" s="274"/>
    </row>
    <row r="188" spans="2:7">
      <c r="B188" s="195" t="s">
        <v>672</v>
      </c>
      <c r="C188" s="189" t="s">
        <v>673</v>
      </c>
      <c r="D188" s="300">
        <v>60</v>
      </c>
      <c r="E188" s="195"/>
      <c r="F188" s="195"/>
      <c r="G188" s="274"/>
    </row>
    <row r="189" spans="2:7">
      <c r="B189" s="284" t="s">
        <v>674</v>
      </c>
      <c r="C189" s="198"/>
      <c r="D189" s="193">
        <v>6299.92955980548</v>
      </c>
      <c r="E189" s="212">
        <v>60</v>
      </c>
      <c r="F189" s="212">
        <v>377995.773588329</v>
      </c>
      <c r="G189" s="277">
        <f>+F189</f>
        <v>377995.773588329</v>
      </c>
    </row>
    <row r="190" spans="2:7">
      <c r="B190" s="284" t="s">
        <v>1022</v>
      </c>
      <c r="C190" s="198"/>
      <c r="D190" s="193"/>
      <c r="E190" s="212"/>
      <c r="F190" s="212">
        <v>87.9046223934659</v>
      </c>
      <c r="G190" s="274"/>
    </row>
    <row r="191" spans="2:7">
      <c r="B191" s="295" t="s">
        <v>639</v>
      </c>
      <c r="G191" s="274"/>
    </row>
    <row r="192" spans="7:7">
      <c r="G192" s="274"/>
    </row>
    <row r="193" spans="2:7">
      <c r="B193" t="s">
        <v>675</v>
      </c>
      <c r="G193" s="274"/>
    </row>
    <row r="194" spans="2:7">
      <c r="B194" s="180" t="s">
        <v>10</v>
      </c>
      <c r="C194" s="180" t="s">
        <v>11</v>
      </c>
      <c r="D194" s="180" t="s">
        <v>12</v>
      </c>
      <c r="E194" s="180" t="s">
        <v>493</v>
      </c>
      <c r="F194" s="180" t="s">
        <v>607</v>
      </c>
      <c r="G194" s="274"/>
    </row>
    <row r="195" ht="30" spans="2:7">
      <c r="B195" s="187" t="s">
        <v>676</v>
      </c>
      <c r="C195" s="189" t="s">
        <v>561</v>
      </c>
      <c r="D195" s="189">
        <v>1</v>
      </c>
      <c r="E195" s="301">
        <v>15000</v>
      </c>
      <c r="F195" s="190">
        <v>15000</v>
      </c>
      <c r="G195" s="274"/>
    </row>
    <row r="196" spans="2:7">
      <c r="B196" s="187" t="s">
        <v>677</v>
      </c>
      <c r="C196" s="189" t="s">
        <v>561</v>
      </c>
      <c r="D196" s="189">
        <v>1</v>
      </c>
      <c r="E196" s="301">
        <v>15000</v>
      </c>
      <c r="F196" s="190">
        <v>15000</v>
      </c>
      <c r="G196" s="274"/>
    </row>
    <row r="197" spans="2:7">
      <c r="B197" s="187" t="s">
        <v>678</v>
      </c>
      <c r="C197" s="189" t="s">
        <v>561</v>
      </c>
      <c r="D197" s="189">
        <v>1</v>
      </c>
      <c r="E197" s="301">
        <v>7500</v>
      </c>
      <c r="F197" s="190">
        <v>7500</v>
      </c>
      <c r="G197" s="274"/>
    </row>
    <row r="198" spans="2:7">
      <c r="B198" s="302" t="s">
        <v>679</v>
      </c>
      <c r="C198" s="303"/>
      <c r="D198" s="303"/>
      <c r="E198" s="303"/>
      <c r="F198" s="304">
        <v>37500</v>
      </c>
      <c r="G198" s="274"/>
    </row>
    <row r="199" spans="2:7">
      <c r="B199" s="302" t="s">
        <v>680</v>
      </c>
      <c r="C199" s="303"/>
      <c r="D199" s="303"/>
      <c r="E199" s="303"/>
      <c r="F199" s="304">
        <v>450000</v>
      </c>
      <c r="G199" s="274"/>
    </row>
    <row r="200" spans="2:7">
      <c r="B200" s="302" t="s">
        <v>638</v>
      </c>
      <c r="C200" s="303"/>
      <c r="D200" s="303"/>
      <c r="E200" s="303"/>
      <c r="F200" s="304"/>
      <c r="G200" s="274"/>
    </row>
  </sheetData>
  <mergeCells count="30">
    <mergeCell ref="B2:N2"/>
    <mergeCell ref="B4:N4"/>
    <mergeCell ref="O7:P7"/>
    <mergeCell ref="Q7:R7"/>
    <mergeCell ref="S7:T7"/>
    <mergeCell ref="U7:V7"/>
    <mergeCell ref="B58:F58"/>
    <mergeCell ref="B68:F68"/>
    <mergeCell ref="B77:F77"/>
    <mergeCell ref="B84:F84"/>
    <mergeCell ref="B88:F88"/>
    <mergeCell ref="B97:F97"/>
    <mergeCell ref="B104:F104"/>
    <mergeCell ref="B108:F108"/>
    <mergeCell ref="B109:F109"/>
    <mergeCell ref="B116:F116"/>
    <mergeCell ref="B127:F127"/>
    <mergeCell ref="B135:F135"/>
    <mergeCell ref="B145:F145"/>
    <mergeCell ref="B154:F154"/>
    <mergeCell ref="B161:F161"/>
    <mergeCell ref="B164:F164"/>
    <mergeCell ref="B170:F170"/>
    <mergeCell ref="B171:F171"/>
    <mergeCell ref="B177:F177"/>
    <mergeCell ref="B182:F182"/>
    <mergeCell ref="B184:B187"/>
    <mergeCell ref="M6:M8"/>
    <mergeCell ref="W7:W8"/>
    <mergeCell ref="X7:X8"/>
  </mergeCells>
  <pageMargins left="0.7" right="0.7" top="0.75" bottom="0.75" header="0.3" footer="0.3"/>
  <pageSetup paperSize="1" orientation="portrait"/>
  <headerFooter/>
  <ignoredErrors>
    <ignoredError sqref="E67 E57 E169 X12:X48" formulaRange="1"/>
  </ignoredError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249977111117893"/>
  </sheetPr>
  <dimension ref="B2:S61"/>
  <sheetViews>
    <sheetView zoomScale="80" zoomScaleNormal="80" topLeftCell="G41" workbookViewId="0">
      <selection activeCell="O57" sqref="O57"/>
    </sheetView>
  </sheetViews>
  <sheetFormatPr defaultColWidth="11.552380952381" defaultRowHeight="15"/>
  <cols>
    <col min="1" max="1" width="4.66666666666667" customWidth="1"/>
    <col min="2" max="2" width="13.4380952380952" customWidth="1"/>
    <col min="3" max="3" width="22.3333333333333" customWidth="1"/>
    <col min="4" max="4" width="20.3333333333333" customWidth="1"/>
    <col min="5" max="5" width="21.6666666666667" customWidth="1"/>
    <col min="6" max="6" width="24.1047619047619" customWidth="1"/>
    <col min="7" max="7" width="16" customWidth="1"/>
    <col min="8" max="8" width="20.3333333333333" customWidth="1"/>
    <col min="9" max="9" width="22.3333333333333" customWidth="1"/>
    <col min="10" max="10" width="20.3333333333333" customWidth="1"/>
    <col min="11" max="11" width="20.6666666666667" customWidth="1"/>
    <col min="12" max="12" width="22.3333333333333" customWidth="1"/>
    <col min="13" max="13" width="20.8857142857143" customWidth="1"/>
    <col min="14" max="14" width="21.4380952380952" customWidth="1"/>
    <col min="15" max="15" width="21" customWidth="1"/>
    <col min="16" max="16" width="18" customWidth="1"/>
    <col min="17" max="17" width="24.552380952381" customWidth="1"/>
    <col min="20" max="20" width="15.552380952381" customWidth="1"/>
    <col min="21" max="21" width="14.552380952381" customWidth="1"/>
  </cols>
  <sheetData>
    <row r="2" ht="21" customHeight="1" spans="2:17">
      <c r="B2" s="2" t="s">
        <v>0</v>
      </c>
      <c r="C2" s="2"/>
      <c r="D2" s="2"/>
      <c r="E2" s="2"/>
      <c r="F2" s="2"/>
      <c r="G2" s="2"/>
      <c r="H2" s="2"/>
      <c r="I2" s="2"/>
      <c r="J2" s="2"/>
      <c r="K2" s="2"/>
      <c r="L2" s="2"/>
      <c r="M2" s="2"/>
      <c r="N2" s="2"/>
      <c r="O2" s="2"/>
      <c r="P2" s="2"/>
      <c r="Q2" s="2"/>
    </row>
    <row r="3" ht="10.5" customHeight="1"/>
    <row r="4" s="138" customFormat="1" customHeight="1" spans="2:17">
      <c r="B4" s="139" t="s">
        <v>1023</v>
      </c>
      <c r="C4" s="139"/>
      <c r="D4" s="139"/>
      <c r="E4" s="139"/>
      <c r="F4" s="139"/>
      <c r="G4" s="139"/>
      <c r="H4" s="139"/>
      <c r="I4" s="139"/>
      <c r="J4" s="139"/>
      <c r="K4" s="139"/>
      <c r="L4" s="139"/>
      <c r="M4" s="139"/>
      <c r="N4" s="139"/>
      <c r="O4" s="139"/>
      <c r="P4" s="139"/>
      <c r="Q4" s="139"/>
    </row>
    <row r="5" ht="15.75" spans="2:16">
      <c r="B5" s="140"/>
      <c r="C5" s="141"/>
      <c r="D5" s="141"/>
      <c r="E5" s="141"/>
      <c r="F5" s="141"/>
      <c r="G5" s="141"/>
      <c r="H5" s="141"/>
      <c r="I5" s="141"/>
      <c r="J5" s="141"/>
      <c r="K5" s="141"/>
      <c r="L5" s="141"/>
      <c r="M5" s="141"/>
      <c r="N5" s="141"/>
      <c r="O5" s="141"/>
      <c r="P5" s="141"/>
    </row>
    <row r="6" spans="2:16">
      <c r="B6" t="s">
        <v>1024</v>
      </c>
      <c r="C6" s="142"/>
      <c r="D6" s="142"/>
      <c r="E6" s="143"/>
      <c r="F6" s="143"/>
      <c r="G6" s="143"/>
      <c r="H6" s="143"/>
      <c r="I6" s="143"/>
      <c r="J6" s="143"/>
      <c r="K6" s="143"/>
      <c r="L6" s="143"/>
      <c r="M6" s="143"/>
      <c r="N6" s="163"/>
      <c r="O6" s="163"/>
      <c r="P6" s="163"/>
    </row>
    <row r="7" spans="2:16">
      <c r="B7" s="144" t="s">
        <v>1025</v>
      </c>
      <c r="C7" s="145">
        <f>+C17</f>
        <v>2024</v>
      </c>
      <c r="D7" s="141"/>
      <c r="E7" s="146"/>
      <c r="F7" s="146"/>
      <c r="G7" s="147"/>
      <c r="H7" s="147"/>
      <c r="I7" s="147"/>
      <c r="J7" s="147"/>
      <c r="K7" s="147"/>
      <c r="L7" s="147"/>
      <c r="M7" s="164"/>
      <c r="N7" s="141"/>
      <c r="O7" s="141"/>
      <c r="P7" s="141"/>
    </row>
    <row r="8" ht="25.5" spans="2:16">
      <c r="B8" s="144" t="s">
        <v>5</v>
      </c>
      <c r="C8" s="148">
        <v>0.1</v>
      </c>
      <c r="D8" s="149"/>
      <c r="E8" s="150"/>
      <c r="F8" s="150"/>
      <c r="G8" s="147"/>
      <c r="H8" s="147"/>
      <c r="I8" s="147"/>
      <c r="J8" s="147"/>
      <c r="K8" s="147"/>
      <c r="L8" s="147"/>
      <c r="M8" s="164"/>
      <c r="N8" s="149"/>
      <c r="O8" s="149"/>
      <c r="P8" s="149"/>
    </row>
    <row r="9" ht="38.25" spans="2:16">
      <c r="B9" s="144" t="s">
        <v>1026</v>
      </c>
      <c r="C9" s="151">
        <f>+J57</f>
        <v>1220645450.70894</v>
      </c>
      <c r="D9" s="149"/>
      <c r="E9" s="150"/>
      <c r="F9" s="150"/>
      <c r="G9" s="147"/>
      <c r="H9" s="147"/>
      <c r="I9" s="147"/>
      <c r="J9" s="147"/>
      <c r="K9" s="147"/>
      <c r="L9" s="147"/>
      <c r="M9" s="164"/>
      <c r="N9" s="149"/>
      <c r="O9" s="149"/>
      <c r="P9" s="149"/>
    </row>
    <row r="10" ht="25.5" spans="2:16">
      <c r="B10" s="144" t="s">
        <v>1027</v>
      </c>
      <c r="C10" s="145">
        <v>2</v>
      </c>
      <c r="D10" s="149"/>
      <c r="E10" s="150"/>
      <c r="F10" s="150"/>
      <c r="G10" s="147"/>
      <c r="H10" s="147"/>
      <c r="I10" s="147"/>
      <c r="J10" s="147"/>
      <c r="K10" s="147"/>
      <c r="L10" s="147"/>
      <c r="M10" s="164"/>
      <c r="N10" s="149"/>
      <c r="O10" s="149"/>
      <c r="P10" s="149"/>
    </row>
    <row r="11" ht="25.5" spans="2:16">
      <c r="B11" s="144" t="s">
        <v>1028</v>
      </c>
      <c r="C11" s="145">
        <f>+COUNT(I19:I56)</f>
        <v>38</v>
      </c>
      <c r="D11" s="149"/>
      <c r="E11" s="150"/>
      <c r="F11" s="150"/>
      <c r="G11" s="147"/>
      <c r="H11" s="147"/>
      <c r="I11" s="147"/>
      <c r="J11" s="147"/>
      <c r="K11" s="147"/>
      <c r="L11" s="147"/>
      <c r="M11" s="164"/>
      <c r="N11" s="165"/>
      <c r="O11" s="165"/>
      <c r="P11" s="165"/>
    </row>
    <row r="12" spans="2:16">
      <c r="B12" t="s">
        <v>187</v>
      </c>
      <c r="C12" s="152"/>
      <c r="D12" s="152"/>
      <c r="E12" s="150"/>
      <c r="F12" s="150"/>
      <c r="G12" s="147"/>
      <c r="H12" s="147"/>
      <c r="I12" s="147"/>
      <c r="J12" s="147"/>
      <c r="K12" s="147"/>
      <c r="L12" s="147"/>
      <c r="M12" s="147"/>
      <c r="N12" s="152"/>
      <c r="O12" s="152"/>
      <c r="P12" s="152"/>
    </row>
    <row r="13" spans="2:16">
      <c r="B13" s="149"/>
      <c r="C13" s="152"/>
      <c r="D13" s="152"/>
      <c r="E13" s="152"/>
      <c r="F13" s="152"/>
      <c r="G13" s="152"/>
      <c r="H13" s="152"/>
      <c r="I13" s="152"/>
      <c r="J13" s="152"/>
      <c r="K13" s="152"/>
      <c r="L13" s="152"/>
      <c r="M13" s="152"/>
      <c r="N13" s="152"/>
      <c r="O13" s="152"/>
      <c r="P13" s="152"/>
    </row>
    <row r="14" spans="2:15">
      <c r="B14" t="s">
        <v>1029</v>
      </c>
      <c r="C14" s="149"/>
      <c r="D14" s="149"/>
      <c r="E14" s="149"/>
      <c r="F14" s="149"/>
      <c r="G14" s="149"/>
      <c r="H14" s="149"/>
      <c r="I14" s="149"/>
      <c r="J14" s="149"/>
      <c r="K14" s="149"/>
      <c r="L14" s="149"/>
      <c r="M14" s="149"/>
      <c r="N14" s="149"/>
      <c r="O14" s="149"/>
    </row>
    <row r="15" s="80" customFormat="1" ht="12.75" spans="2:15">
      <c r="B15" s="153" t="s">
        <v>1030</v>
      </c>
      <c r="C15" s="153" t="s">
        <v>200</v>
      </c>
      <c r="D15" s="154" t="s">
        <v>1031</v>
      </c>
      <c r="E15" s="154" t="s">
        <v>1032</v>
      </c>
      <c r="F15" s="154" t="s">
        <v>1033</v>
      </c>
      <c r="G15" s="155" t="s">
        <v>1034</v>
      </c>
      <c r="H15" s="155" t="s">
        <v>1035</v>
      </c>
      <c r="I15" s="155"/>
      <c r="J15" s="166" t="s">
        <v>1036</v>
      </c>
      <c r="K15" s="166" t="s">
        <v>1037</v>
      </c>
      <c r="L15" s="166" t="s">
        <v>1038</v>
      </c>
      <c r="M15" s="166" t="s">
        <v>1039</v>
      </c>
      <c r="N15" s="154" t="s">
        <v>1040</v>
      </c>
      <c r="O15" s="154" t="s">
        <v>1041</v>
      </c>
    </row>
    <row r="16" s="80" customFormat="1" ht="22.2" customHeight="1" spans="2:15">
      <c r="B16" s="153"/>
      <c r="C16" s="153"/>
      <c r="D16" s="154"/>
      <c r="E16" s="154"/>
      <c r="F16" s="154"/>
      <c r="G16" s="156"/>
      <c r="H16" s="156"/>
      <c r="I16" s="156" t="s">
        <v>1042</v>
      </c>
      <c r="J16" s="166"/>
      <c r="K16" s="166"/>
      <c r="L16" s="166"/>
      <c r="M16" s="166"/>
      <c r="N16" s="154"/>
      <c r="O16" s="154"/>
    </row>
    <row r="17" s="80" customFormat="1" ht="12.75" spans="2:19">
      <c r="B17" s="157">
        <v>0</v>
      </c>
      <c r="C17" s="157">
        <v>2024</v>
      </c>
      <c r="D17" s="158">
        <f>+'VI. Cuanti_Beneficios'!O23</f>
        <v>0</v>
      </c>
      <c r="E17" s="158">
        <f>+'VI. Cuanti_Beneficios'!I71</f>
        <v>0</v>
      </c>
      <c r="F17" s="158">
        <f>+'VI. Cuanti_Beneficios'!G118</f>
        <v>0</v>
      </c>
      <c r="G17" s="158">
        <f>+'VI. Cuanti_Beneficios'!E165</f>
        <v>0</v>
      </c>
      <c r="H17" s="158">
        <v>0</v>
      </c>
      <c r="I17" s="158">
        <f>+SUM(D17:G17)</f>
        <v>0</v>
      </c>
      <c r="J17" s="158">
        <f>+'IV.1 CAE Alt 1'!D8</f>
        <v>64081222.7394439</v>
      </c>
      <c r="K17" s="158">
        <f>+'VIII. Costos Op y Mant'!X9</f>
        <v>53343536.5570275</v>
      </c>
      <c r="L17" s="158">
        <f>+'IX. Costos MantenimientoMayor'!H8</f>
        <v>0</v>
      </c>
      <c r="M17" s="158">
        <f t="shared" ref="M17:M56" si="0">SUM(J17:L17)</f>
        <v>117424759.296471</v>
      </c>
      <c r="N17" s="158">
        <f t="shared" ref="N17:N56" si="1">SUM(I17)-M17</f>
        <v>-117424759.296471</v>
      </c>
      <c r="O17" s="158">
        <f t="shared" ref="O17:O56" si="2">N17/((1+C$8)^B17)</f>
        <v>-117424759.296471</v>
      </c>
      <c r="R17" s="178"/>
      <c r="S17" s="178"/>
    </row>
    <row r="18" s="80" customFormat="1" ht="12.75" spans="2:19">
      <c r="B18" s="157">
        <f t="shared" ref="B18:C33" si="3">B17+1</f>
        <v>1</v>
      </c>
      <c r="C18" s="157">
        <f t="shared" si="3"/>
        <v>2025</v>
      </c>
      <c r="D18" s="158">
        <f>+'VI. Cuanti_Beneficios'!O24</f>
        <v>0</v>
      </c>
      <c r="E18" s="158">
        <f>+'VI. Cuanti_Beneficios'!I72</f>
        <v>0</v>
      </c>
      <c r="F18" s="158">
        <f>+'VI. Cuanti_Beneficios'!G119</f>
        <v>0</v>
      </c>
      <c r="G18" s="158">
        <f>+'VI. Cuanti_Beneficios'!E166</f>
        <v>0</v>
      </c>
      <c r="H18" s="158">
        <v>0</v>
      </c>
      <c r="I18" s="158">
        <f t="shared" ref="I18:I56" si="4">+SUM(D18:H18)</f>
        <v>0</v>
      </c>
      <c r="J18" s="158">
        <f>+'IV.1 CAE Alt 1'!D9</f>
        <v>988196979.807846</v>
      </c>
      <c r="K18" s="158">
        <f>+'VIII. Costos Op y Mant'!X10</f>
        <v>53343536.5570275</v>
      </c>
      <c r="L18" s="158">
        <f>+'IX. Costos MantenimientoMayor'!H9</f>
        <v>0</v>
      </c>
      <c r="M18" s="158">
        <f t="shared" si="0"/>
        <v>1041540516.36487</v>
      </c>
      <c r="N18" s="158">
        <f t="shared" si="1"/>
        <v>-1041540516.36487</v>
      </c>
      <c r="O18" s="158">
        <f t="shared" si="2"/>
        <v>-946855014.877157</v>
      </c>
      <c r="R18" s="178"/>
      <c r="S18" s="178"/>
    </row>
    <row r="19" s="80" customFormat="1" ht="12.75" spans="2:15">
      <c r="B19" s="157">
        <f t="shared" si="3"/>
        <v>2</v>
      </c>
      <c r="C19" s="157">
        <f t="shared" si="3"/>
        <v>2026</v>
      </c>
      <c r="D19" s="158">
        <f>+'VI. Cuanti_Beneficios'!O25</f>
        <v>312192513.943298</v>
      </c>
      <c r="E19" s="158">
        <f>+'VI. Cuanti_Beneficios'!I73</f>
        <v>37494214.1799622</v>
      </c>
      <c r="F19" s="158">
        <f>+'VI. Cuanti_Beneficios'!G120</f>
        <v>33868593.5511708</v>
      </c>
      <c r="G19" s="158">
        <f>+'VI. Cuanti_Beneficios'!E167</f>
        <v>2782630.46561063</v>
      </c>
      <c r="H19" s="158">
        <f>+'VI. Cuanti_Beneficios'!H217</f>
        <v>24123901.0707718</v>
      </c>
      <c r="I19" s="167">
        <f t="shared" si="4"/>
        <v>410461853.210814</v>
      </c>
      <c r="J19" s="158">
        <f>+'IV.1 CAE Alt 1'!D10</f>
        <v>168367248.161654</v>
      </c>
      <c r="K19" s="158">
        <f>+'VIII. Costos Op y Mant'!X11</f>
        <v>150467875.448339</v>
      </c>
      <c r="L19" s="158">
        <f>+'IX. Costos MantenimientoMayor'!H10</f>
        <v>0</v>
      </c>
      <c r="M19" s="158">
        <f t="shared" si="0"/>
        <v>318835123.609994</v>
      </c>
      <c r="N19" s="158">
        <f t="shared" si="1"/>
        <v>91626729.6008202</v>
      </c>
      <c r="O19" s="158">
        <f t="shared" si="2"/>
        <v>75724569.9180332</v>
      </c>
    </row>
    <row r="20" s="80" customFormat="1" ht="12.75" spans="2:15">
      <c r="B20" s="157">
        <f t="shared" si="3"/>
        <v>3</v>
      </c>
      <c r="C20" s="157">
        <f t="shared" si="3"/>
        <v>2027</v>
      </c>
      <c r="D20" s="158">
        <f>+'VI. Cuanti_Beneficios'!O26</f>
        <v>315484150.031529</v>
      </c>
      <c r="E20" s="158">
        <f>+'VI. Cuanti_Beneficios'!I74</f>
        <v>37889538.548685</v>
      </c>
      <c r="F20" s="158">
        <f>+'VI. Cuanti_Beneficios'!G121</f>
        <v>33868593.5511708</v>
      </c>
      <c r="G20" s="158">
        <f>+'VI. Cuanti_Beneficios'!E168</f>
        <v>2824791.5332714</v>
      </c>
      <c r="H20" s="158">
        <f>+'VI. Cuanti_Beneficios'!H218</f>
        <v>32219451.384839</v>
      </c>
      <c r="I20" s="167">
        <f t="shared" si="4"/>
        <v>422286525.049496</v>
      </c>
      <c r="J20" s="168">
        <v>0</v>
      </c>
      <c r="K20" s="158">
        <f>+'VIII. Costos Op y Mant'!X12</f>
        <v>151272317.370145</v>
      </c>
      <c r="L20" s="158">
        <f>+'IX. Costos MantenimientoMayor'!H11</f>
        <v>0</v>
      </c>
      <c r="M20" s="158">
        <f t="shared" si="0"/>
        <v>151272317.370145</v>
      </c>
      <c r="N20" s="158">
        <f t="shared" si="1"/>
        <v>271014207.679351</v>
      </c>
      <c r="O20" s="158">
        <f t="shared" si="2"/>
        <v>203616985.48411</v>
      </c>
    </row>
    <row r="21" s="80" customFormat="1" ht="12.75" spans="2:15">
      <c r="B21" s="157">
        <f t="shared" si="3"/>
        <v>4</v>
      </c>
      <c r="C21" s="157">
        <f t="shared" si="3"/>
        <v>2028</v>
      </c>
      <c r="D21" s="158">
        <f>+'VI. Cuanti_Beneficios'!O27</f>
        <v>318573845.255452</v>
      </c>
      <c r="E21" s="158">
        <f>+'VI. Cuanti_Beneficios'!I75</f>
        <v>38260609.8886518</v>
      </c>
      <c r="F21" s="158">
        <f>+'VI. Cuanti_Beneficios'!G122</f>
        <v>33868593.5511708</v>
      </c>
      <c r="G21" s="158">
        <f>+'VI. Cuanti_Beneficios'!E169</f>
        <v>2866952.60093217</v>
      </c>
      <c r="H21" s="158">
        <f>+'VI. Cuanti_Beneficios'!H219</f>
        <v>40015712.0178088</v>
      </c>
      <c r="I21" s="167">
        <f t="shared" si="4"/>
        <v>433585713.314015</v>
      </c>
      <c r="J21" s="168">
        <v>0</v>
      </c>
      <c r="K21" s="158">
        <f>+'VIII. Costos Op y Mant'!X13</f>
        <v>152027407.026809</v>
      </c>
      <c r="L21" s="158">
        <f>+'IX. Costos MantenimientoMayor'!H12</f>
        <v>0</v>
      </c>
      <c r="M21" s="158">
        <f t="shared" si="0"/>
        <v>152027407.026809</v>
      </c>
      <c r="N21" s="158">
        <f t="shared" si="1"/>
        <v>281558306.287206</v>
      </c>
      <c r="O21" s="158">
        <f t="shared" si="2"/>
        <v>192308111.663962</v>
      </c>
    </row>
    <row r="22" s="80" customFormat="1" ht="12.75" spans="2:15">
      <c r="B22" s="157">
        <f t="shared" si="3"/>
        <v>5</v>
      </c>
      <c r="C22" s="157">
        <f t="shared" si="3"/>
        <v>2029</v>
      </c>
      <c r="D22" s="158">
        <f>+'VI. Cuanti_Beneficios'!O28</f>
        <v>321477800.954369</v>
      </c>
      <c r="E22" s="158">
        <f>+'VI. Cuanti_Beneficios'!I76</f>
        <v>38609373.9751735</v>
      </c>
      <c r="F22" s="158">
        <f>+'VI. Cuanti_Beneficios'!G123</f>
        <v>33868593.5511708</v>
      </c>
      <c r="G22" s="158">
        <f>+'VI. Cuanti_Beneficios'!E170</f>
        <v>2909113.66859293</v>
      </c>
      <c r="H22" s="158">
        <f>+'VI. Cuanti_Beneficios'!H220</f>
        <v>47535612.542987</v>
      </c>
      <c r="I22" s="167">
        <f t="shared" si="4"/>
        <v>444400494.692293</v>
      </c>
      <c r="J22" s="168">
        <v>0</v>
      </c>
      <c r="K22" s="158">
        <f>+'VIII. Costos Op y Mant'!X14</f>
        <v>152737103.858615</v>
      </c>
      <c r="L22" s="158">
        <f>+'IX. Costos MantenimientoMayor'!H13</f>
        <v>0</v>
      </c>
      <c r="M22" s="158">
        <f t="shared" si="0"/>
        <v>152737103.858615</v>
      </c>
      <c r="N22" s="158">
        <f t="shared" si="1"/>
        <v>291663390.833678</v>
      </c>
      <c r="O22" s="158">
        <f t="shared" si="2"/>
        <v>181100018.524367</v>
      </c>
    </row>
    <row r="23" s="80" customFormat="1" ht="12.75" spans="2:15">
      <c r="B23" s="157">
        <f t="shared" si="3"/>
        <v>6</v>
      </c>
      <c r="C23" s="157">
        <f t="shared" si="3"/>
        <v>2030</v>
      </c>
      <c r="D23" s="158">
        <f>+'VI. Cuanti_Beneficios'!O29</f>
        <v>324224964.544952</v>
      </c>
      <c r="E23" s="158">
        <f>+'VI. Cuanti_Beneficios'!I77</f>
        <v>38939307.3830944</v>
      </c>
      <c r="F23" s="158">
        <f>+'VI. Cuanti_Beneficios'!G124</f>
        <v>33868593.5511708</v>
      </c>
      <c r="G23" s="158">
        <f>+'VI. Cuanti_Beneficios'!E171</f>
        <v>2951274.7362537</v>
      </c>
      <c r="H23" s="158">
        <f>+'VI. Cuanti_Beneficios'!H221</f>
        <v>54799898.0366802</v>
      </c>
      <c r="I23" s="167">
        <f t="shared" si="4"/>
        <v>454784038.252151</v>
      </c>
      <c r="J23" s="168">
        <v>0</v>
      </c>
      <c r="K23" s="158">
        <f>+'VIII. Costos Op y Mant'!X15</f>
        <v>153408482.315736</v>
      </c>
      <c r="L23" s="158">
        <f>+'IX. Costos MantenimientoMayor'!H14</f>
        <v>0</v>
      </c>
      <c r="M23" s="158">
        <f t="shared" si="0"/>
        <v>153408482.315736</v>
      </c>
      <c r="N23" s="158">
        <f t="shared" si="1"/>
        <v>301375555.936415</v>
      </c>
      <c r="O23" s="158">
        <f t="shared" si="2"/>
        <v>170118644.48157</v>
      </c>
    </row>
    <row r="24" s="80" customFormat="1" ht="12.75" spans="2:15">
      <c r="B24" s="157">
        <f t="shared" si="3"/>
        <v>7</v>
      </c>
      <c r="C24" s="157">
        <f t="shared" si="3"/>
        <v>2031</v>
      </c>
      <c r="D24" s="158">
        <f>+'VI. Cuanti_Beneficios'!O30</f>
        <v>326845742.332246</v>
      </c>
      <c r="E24" s="158">
        <f>+'VI. Cuanti_Beneficios'!I78</f>
        <v>39254061.8992541</v>
      </c>
      <c r="F24" s="158">
        <f>+'VI. Cuanti_Beneficios'!G125</f>
        <v>33868593.5511708</v>
      </c>
      <c r="G24" s="158">
        <f>+'VI. Cuanti_Beneficios'!E172</f>
        <v>3017678.41781941</v>
      </c>
      <c r="H24" s="158">
        <f>+'VI. Cuanti_Beneficios'!H222</f>
        <v>62328377.2676753</v>
      </c>
      <c r="I24" s="167">
        <f t="shared" si="4"/>
        <v>465314453.468166</v>
      </c>
      <c r="J24" s="168">
        <v>0</v>
      </c>
      <c r="K24" s="158">
        <f>+'VIII. Costos Op y Mant'!X16</f>
        <v>154048973.385625</v>
      </c>
      <c r="L24" s="158">
        <f>+'IX. Costos MantenimientoMayor'!H15</f>
        <v>0</v>
      </c>
      <c r="M24" s="158">
        <f t="shared" si="0"/>
        <v>154048973.385625</v>
      </c>
      <c r="N24" s="158">
        <f t="shared" si="1"/>
        <v>311265480.08254</v>
      </c>
      <c r="O24" s="158">
        <f t="shared" si="2"/>
        <v>159728408.029334</v>
      </c>
    </row>
    <row r="25" s="80" customFormat="1" ht="12.75" spans="2:15">
      <c r="B25" s="157">
        <f t="shared" si="3"/>
        <v>8</v>
      </c>
      <c r="C25" s="157">
        <f t="shared" si="3"/>
        <v>2032</v>
      </c>
      <c r="D25" s="158">
        <f>+'VI. Cuanti_Beneficios'!O31</f>
        <v>329367469.27735</v>
      </c>
      <c r="E25" s="158">
        <f>+'VI. Cuanti_Beneficios'!I79</f>
        <v>39556920.4431341</v>
      </c>
      <c r="F25" s="158">
        <f>+'VI. Cuanti_Beneficios'!G126</f>
        <v>33868593.5511708</v>
      </c>
      <c r="G25" s="158">
        <f>+'VI. Cuanti_Beneficios'!E173</f>
        <v>3085576.18222034</v>
      </c>
      <c r="H25" s="158">
        <f>+'VI. Cuanti_Beneficios'!H223</f>
        <v>69766057.1197507</v>
      </c>
      <c r="I25" s="167">
        <f t="shared" si="4"/>
        <v>475644616.573626</v>
      </c>
      <c r="J25" s="168">
        <v>0</v>
      </c>
      <c r="K25" s="158">
        <f>+'VIII. Costos Op y Mant'!X17</f>
        <v>154665257.450939</v>
      </c>
      <c r="L25" s="158">
        <f>+'IX. Costos MantenimientoMayor'!H16</f>
        <v>1750000</v>
      </c>
      <c r="M25" s="158">
        <f t="shared" si="0"/>
        <v>156415257.450939</v>
      </c>
      <c r="N25" s="158">
        <f t="shared" si="1"/>
        <v>319229359.122687</v>
      </c>
      <c r="O25" s="158">
        <f t="shared" si="2"/>
        <v>148922852.010357</v>
      </c>
    </row>
    <row r="26" s="80" customFormat="1" ht="12.75" spans="2:15">
      <c r="B26" s="157">
        <f t="shared" si="3"/>
        <v>9</v>
      </c>
      <c r="C26" s="157">
        <f t="shared" si="3"/>
        <v>2033</v>
      </c>
      <c r="D26" s="158">
        <f>+'VI. Cuanti_Beneficios'!O32</f>
        <v>331815100.049809</v>
      </c>
      <c r="E26" s="158">
        <f>+'VI. Cuanti_Beneficios'!I80</f>
        <v>39850880.0620143</v>
      </c>
      <c r="F26" s="158">
        <f>+'VI. Cuanti_Beneficios'!G127</f>
        <v>33868593.5511708</v>
      </c>
      <c r="G26" s="158">
        <f>+'VI. Cuanti_Beneficios'!E174</f>
        <v>3155001.6463203</v>
      </c>
      <c r="H26" s="158">
        <f>+'VI. Cuanti_Beneficios'!H224</f>
        <v>77128629.5986559</v>
      </c>
      <c r="I26" s="167">
        <f t="shared" si="4"/>
        <v>485818204.90797</v>
      </c>
      <c r="J26" s="168">
        <v>0</v>
      </c>
      <c r="K26" s="158">
        <f>+'VIII. Costos Op y Mant'!X18</f>
        <v>155263433.175621</v>
      </c>
      <c r="L26" s="158">
        <f>+'IX. Costos MantenimientoMayor'!H17</f>
        <v>32378260</v>
      </c>
      <c r="M26" s="158">
        <f t="shared" si="0"/>
        <v>187641693.175621</v>
      </c>
      <c r="N26" s="158">
        <f t="shared" si="1"/>
        <v>298176511.732349</v>
      </c>
      <c r="O26" s="158">
        <f t="shared" si="2"/>
        <v>126455948.480305</v>
      </c>
    </row>
    <row r="27" s="80" customFormat="1" ht="12.75" spans="2:15">
      <c r="B27" s="157">
        <f t="shared" si="3"/>
        <v>10</v>
      </c>
      <c r="C27" s="157">
        <f t="shared" si="3"/>
        <v>2034</v>
      </c>
      <c r="D27" s="158">
        <f>+'VI. Cuanti_Beneficios'!O33</f>
        <v>334211823.296398</v>
      </c>
      <c r="E27" s="158">
        <f>+'VI. Cuanti_Beneficios'!I81</f>
        <v>40138725.7044439</v>
      </c>
      <c r="F27" s="158">
        <f>+'VI. Cuanti_Beneficios'!G128</f>
        <v>33868593.5511708</v>
      </c>
      <c r="G27" s="158">
        <f>+'VI. Cuanti_Beneficios'!E175</f>
        <v>3225989.18336251</v>
      </c>
      <c r="H27" s="158">
        <f>+'VI. Cuanti_Beneficios'!H225</f>
        <v>84430314.745593</v>
      </c>
      <c r="I27" s="167">
        <f t="shared" si="4"/>
        <v>495875446.480968</v>
      </c>
      <c r="J27" s="168">
        <v>0</v>
      </c>
      <c r="K27" s="158">
        <f>+'VIII. Costos Op y Mant'!X19</f>
        <v>155849167.625858</v>
      </c>
      <c r="L27" s="158">
        <f>+'IX. Costos MantenimientoMayor'!H18</f>
        <v>125491485</v>
      </c>
      <c r="M27" s="158">
        <f t="shared" si="0"/>
        <v>281340652.625858</v>
      </c>
      <c r="N27" s="158">
        <f t="shared" si="1"/>
        <v>214534793.85511</v>
      </c>
      <c r="O27" s="158">
        <f t="shared" si="2"/>
        <v>82712450.1199856</v>
      </c>
    </row>
    <row r="28" s="80" customFormat="1" ht="12.75" spans="2:15">
      <c r="B28" s="157">
        <f t="shared" si="3"/>
        <v>11</v>
      </c>
      <c r="C28" s="157">
        <f t="shared" si="3"/>
        <v>2035</v>
      </c>
      <c r="D28" s="158">
        <f>+'VI. Cuanti_Beneficios'!O34</f>
        <v>336565778.078569</v>
      </c>
      <c r="E28" s="158">
        <f>+'VI. Cuanti_Beneficios'!I82</f>
        <v>40421434.8689202</v>
      </c>
      <c r="F28" s="158">
        <f>+'VI. Cuanti_Beneficios'!G129</f>
        <v>33868593.5511708</v>
      </c>
      <c r="G28" s="158">
        <f>+'VI. Cuanti_Beneficios'!E176</f>
        <v>3298573.93998817</v>
      </c>
      <c r="H28" s="158">
        <f>+'VI. Cuanti_Beneficios'!H226</f>
        <v>91684169.5879732</v>
      </c>
      <c r="I28" s="167">
        <f t="shared" si="4"/>
        <v>505838550.026621</v>
      </c>
      <c r="J28" s="168">
        <v>0</v>
      </c>
      <c r="K28" s="158">
        <f>+'VIII. Costos Op y Mant'!X20</f>
        <v>156424449.904353</v>
      </c>
      <c r="L28" s="158">
        <f>+'IX. Costos MantenimientoMayor'!H19</f>
        <v>0</v>
      </c>
      <c r="M28" s="158">
        <f t="shared" si="0"/>
        <v>156424449.904353</v>
      </c>
      <c r="N28" s="158">
        <f t="shared" si="1"/>
        <v>349414100.122269</v>
      </c>
      <c r="O28" s="158">
        <f t="shared" si="2"/>
        <v>122467510.485636</v>
      </c>
    </row>
    <row r="29" s="80" customFormat="1" ht="12.75" spans="2:15">
      <c r="B29" s="157">
        <f t="shared" si="3"/>
        <v>12</v>
      </c>
      <c r="C29" s="157">
        <f t="shared" si="3"/>
        <v>2036</v>
      </c>
      <c r="D29" s="158">
        <f>+'VI. Cuanti_Beneficios'!O35</f>
        <v>338881341.061442</v>
      </c>
      <c r="E29" s="158">
        <f>+'VI. Cuanti_Beneficios'!I83</f>
        <v>40699533.1914277</v>
      </c>
      <c r="F29" s="158">
        <f>+'VI. Cuanti_Beneficios'!G130</f>
        <v>33868593.5511708</v>
      </c>
      <c r="G29" s="158">
        <f>+'VI. Cuanti_Beneficios'!E177</f>
        <v>3372791.8536379</v>
      </c>
      <c r="H29" s="158">
        <f>+'VI. Cuanti_Beneficios'!H227</f>
        <v>98902152.500487</v>
      </c>
      <c r="I29" s="167">
        <f t="shared" si="4"/>
        <v>515724412.158165</v>
      </c>
      <c r="J29" s="168">
        <v>0</v>
      </c>
      <c r="K29" s="158">
        <f>+'VIII. Costos Op y Mant'!X21</f>
        <v>156990349.622935</v>
      </c>
      <c r="L29" s="158">
        <f>+'IX. Costos MantenimientoMayor'!H20</f>
        <v>0</v>
      </c>
      <c r="M29" s="158">
        <f t="shared" si="0"/>
        <v>156990349.622935</v>
      </c>
      <c r="N29" s="158">
        <f t="shared" si="1"/>
        <v>358734062.53523</v>
      </c>
      <c r="O29" s="158">
        <f t="shared" si="2"/>
        <v>114303727.686159</v>
      </c>
    </row>
    <row r="30" s="80" customFormat="1" ht="12.75" spans="2:15">
      <c r="B30" s="157">
        <f t="shared" si="3"/>
        <v>13</v>
      </c>
      <c r="C30" s="157">
        <f t="shared" si="3"/>
        <v>2037</v>
      </c>
      <c r="D30" s="158">
        <f>+'VI. Cuanti_Beneficios'!O36</f>
        <v>341147839.324812</v>
      </c>
      <c r="E30" s="158">
        <f>+'VI. Cuanti_Beneficios'!I84</f>
        <v>40971738.857899</v>
      </c>
      <c r="F30" s="158">
        <f>+'VI. Cuanti_Beneficios'!G131</f>
        <v>33868593.5511708</v>
      </c>
      <c r="G30" s="158">
        <f>+'VI. Cuanti_Beneficios'!E178</f>
        <v>3448679.67034475</v>
      </c>
      <c r="H30" s="158">
        <f>+'VI. Cuanti_Beneficios'!H228</f>
        <v>106095427.851569</v>
      </c>
      <c r="I30" s="167">
        <f t="shared" si="4"/>
        <v>525532279.255795</v>
      </c>
      <c r="J30" s="168">
        <v>0</v>
      </c>
      <c r="K30" s="158">
        <f>+'VIII. Costos Op y Mant'!X22</f>
        <v>157544258.429948</v>
      </c>
      <c r="L30" s="158">
        <f>+'IX. Costos MantenimientoMayor'!H21</f>
        <v>49394500</v>
      </c>
      <c r="M30" s="158">
        <f t="shared" si="0"/>
        <v>206938758.429948</v>
      </c>
      <c r="N30" s="158">
        <f t="shared" si="1"/>
        <v>318593520.825847</v>
      </c>
      <c r="O30" s="158">
        <f t="shared" si="2"/>
        <v>92285194.5981464</v>
      </c>
    </row>
    <row r="31" s="80" customFormat="1" ht="12.75" spans="2:15">
      <c r="B31" s="157">
        <f t="shared" si="3"/>
        <v>14</v>
      </c>
      <c r="C31" s="157">
        <f t="shared" si="3"/>
        <v>2038</v>
      </c>
      <c r="D31" s="158">
        <f>+'VI. Cuanti_Beneficios'!O37</f>
        <v>343339857.497543</v>
      </c>
      <c r="E31" s="158">
        <f>+'VI. Cuanti_Beneficios'!I85</f>
        <v>41234999.4909509</v>
      </c>
      <c r="F31" s="158">
        <f>+'VI. Cuanti_Beneficios'!G132</f>
        <v>33868593.5511708</v>
      </c>
      <c r="G31" s="158">
        <f>+'VI. Cuanti_Beneficios'!E179</f>
        <v>3526274.96292751</v>
      </c>
      <c r="H31" s="158">
        <f>+'VI. Cuanti_Beneficios'!H229</f>
        <v>113274617.711364</v>
      </c>
      <c r="I31" s="167">
        <f t="shared" si="4"/>
        <v>535244343.213956</v>
      </c>
      <c r="J31" s="168">
        <v>0</v>
      </c>
      <c r="K31" s="158">
        <f>+'VIII. Costos Op y Mant'!X23</f>
        <v>158079965.07073</v>
      </c>
      <c r="L31" s="158">
        <f>+'IX. Costos MantenimientoMayor'!H22</f>
        <v>0</v>
      </c>
      <c r="M31" s="158">
        <f t="shared" si="0"/>
        <v>158079965.07073</v>
      </c>
      <c r="N31" s="158">
        <f t="shared" si="1"/>
        <v>377164378.143225</v>
      </c>
      <c r="O31" s="158">
        <f t="shared" si="2"/>
        <v>99319168.7760281</v>
      </c>
    </row>
    <row r="32" s="80" customFormat="1" ht="12.75" spans="2:15">
      <c r="B32" s="157">
        <f t="shared" si="3"/>
        <v>15</v>
      </c>
      <c r="C32" s="157">
        <f t="shared" si="3"/>
        <v>2039</v>
      </c>
      <c r="D32" s="158">
        <f>+'VI. Cuanti_Beneficios'!O38</f>
        <v>345424301.84864</v>
      </c>
      <c r="E32" s="158">
        <f>+'VI. Cuanti_Beneficios'!I86</f>
        <v>41485340.544806</v>
      </c>
      <c r="F32" s="158">
        <f>+'VI. Cuanti_Beneficios'!G133</f>
        <v>33868593.5511708</v>
      </c>
      <c r="G32" s="158">
        <f>+'VI. Cuanti_Beneficios'!E180</f>
        <v>3605616.14959338</v>
      </c>
      <c r="H32" s="158">
        <f>+'VI. Cuanti_Beneficios'!H230</f>
        <v>120449935.455605</v>
      </c>
      <c r="I32" s="167">
        <f t="shared" si="4"/>
        <v>544833787.549815</v>
      </c>
      <c r="J32" s="168">
        <v>0</v>
      </c>
      <c r="K32" s="158">
        <f>+'VIII. Costos Op y Mant'!X24</f>
        <v>158589381.778637</v>
      </c>
      <c r="L32" s="158">
        <f>+'IX. Costos MantenimientoMayor'!H23</f>
        <v>0</v>
      </c>
      <c r="M32" s="158">
        <f t="shared" si="0"/>
        <v>158589381.778637</v>
      </c>
      <c r="N32" s="158">
        <f t="shared" si="1"/>
        <v>386244405.771178</v>
      </c>
      <c r="O32" s="158">
        <f t="shared" si="2"/>
        <v>92463839.8549371</v>
      </c>
    </row>
    <row r="33" s="80" customFormat="1" ht="12.75" spans="2:15">
      <c r="B33" s="157">
        <f t="shared" si="3"/>
        <v>16</v>
      </c>
      <c r="C33" s="157">
        <f t="shared" si="3"/>
        <v>2040</v>
      </c>
      <c r="D33" s="158">
        <f>+'VI. Cuanti_Beneficios'!O39</f>
        <v>347367848.296313</v>
      </c>
      <c r="E33" s="158">
        <f>+'VI. Cuanti_Beneficios'!I87</f>
        <v>41718759.8086356</v>
      </c>
      <c r="F33" s="158">
        <f>+'VI. Cuanti_Beneficios'!G134</f>
        <v>33868593.5511708</v>
      </c>
      <c r="G33" s="158">
        <f>+'VI. Cuanti_Beneficios'!E181</f>
        <v>3686742.51295923</v>
      </c>
      <c r="H33" s="158">
        <f>+'VI. Cuanti_Beneficios'!H231</f>
        <v>127631220.620643</v>
      </c>
      <c r="I33" s="167">
        <f t="shared" si="4"/>
        <v>554273164.789722</v>
      </c>
      <c r="J33" s="168">
        <v>0</v>
      </c>
      <c r="K33" s="158">
        <f>+'VIII. Costos Op y Mant'!X25</f>
        <v>159064364.491664</v>
      </c>
      <c r="L33" s="158">
        <f>+'IX. Costos MantenimientoMayor'!H24</f>
        <v>1750000</v>
      </c>
      <c r="M33" s="158">
        <f t="shared" si="0"/>
        <v>160814364.491664</v>
      </c>
      <c r="N33" s="158">
        <f t="shared" si="1"/>
        <v>393458800.298059</v>
      </c>
      <c r="O33" s="158">
        <f t="shared" si="2"/>
        <v>85628098.6778951</v>
      </c>
    </row>
    <row r="34" s="80" customFormat="1" ht="12.75" spans="2:15">
      <c r="B34" s="157">
        <f t="shared" ref="B34:C37" si="5">B33+1</f>
        <v>17</v>
      </c>
      <c r="C34" s="157">
        <f t="shared" si="5"/>
        <v>2041</v>
      </c>
      <c r="D34" s="158">
        <f>+'VI. Cuanti_Beneficios'!O40</f>
        <v>349141702.991088</v>
      </c>
      <c r="E34" s="158">
        <f>+'VI. Cuanti_Beneficios'!I88</f>
        <v>41931799.150963</v>
      </c>
      <c r="F34" s="158">
        <f>+'VI. Cuanti_Beneficios'!G135</f>
        <v>33868593.5511708</v>
      </c>
      <c r="G34" s="158">
        <f>+'VI. Cuanti_Beneficios'!E182</f>
        <v>3769694.21950081</v>
      </c>
      <c r="H34" s="158">
        <f>+'VI. Cuanti_Beneficios'!H232</f>
        <v>134828926.328955</v>
      </c>
      <c r="I34" s="167">
        <f t="shared" si="4"/>
        <v>563540716.241678</v>
      </c>
      <c r="J34" s="168">
        <v>0</v>
      </c>
      <c r="K34" s="158">
        <f>+'VIII. Costos Op y Mant'!X26</f>
        <v>159497876.289876</v>
      </c>
      <c r="L34" s="158">
        <f>+'IX. Costos MantenimientoMayor'!H25</f>
        <v>227685146</v>
      </c>
      <c r="M34" s="158">
        <f t="shared" si="0"/>
        <v>387183022.289876</v>
      </c>
      <c r="N34" s="158">
        <f t="shared" si="1"/>
        <v>176357693.951802</v>
      </c>
      <c r="O34" s="158">
        <f t="shared" si="2"/>
        <v>34891429.5678857</v>
      </c>
    </row>
    <row r="35" s="80" customFormat="1" ht="12.75" spans="2:15">
      <c r="B35" s="157">
        <f t="shared" si="5"/>
        <v>18</v>
      </c>
      <c r="C35" s="157">
        <f t="shared" si="5"/>
        <v>2042</v>
      </c>
      <c r="D35" s="158">
        <f>+'VI. Cuanti_Beneficios'!O41</f>
        <v>350736651.901134</v>
      </c>
      <c r="E35" s="158">
        <f>+'VI. Cuanti_Beneficios'!I89</f>
        <v>42123351.9697158</v>
      </c>
      <c r="F35" s="158">
        <f>+'VI. Cuanti_Beneficios'!G136</f>
        <v>33868593.5511708</v>
      </c>
      <c r="G35" s="158">
        <f>+'VI. Cuanti_Beneficios'!E183</f>
        <v>3854512.33943958</v>
      </c>
      <c r="H35" s="158">
        <f>+'VI. Cuanti_Beneficios'!H233</f>
        <v>142052553.922279</v>
      </c>
      <c r="I35" s="167">
        <f t="shared" si="4"/>
        <v>572635663.683738</v>
      </c>
      <c r="J35" s="168">
        <v>0</v>
      </c>
      <c r="K35" s="158">
        <f>+'VIII. Costos Op y Mant'!X27</f>
        <v>159887665.358894</v>
      </c>
      <c r="L35" s="158">
        <f>+'IX. Costos MantenimientoMayor'!H26</f>
        <v>15750000</v>
      </c>
      <c r="M35" s="158">
        <f t="shared" si="0"/>
        <v>175637665.358894</v>
      </c>
      <c r="N35" s="158">
        <f t="shared" si="1"/>
        <v>396997998.324844</v>
      </c>
      <c r="O35" s="158">
        <f t="shared" si="2"/>
        <v>71403579.5750866</v>
      </c>
    </row>
    <row r="36" s="80" customFormat="1" ht="12.75" spans="2:15">
      <c r="B36" s="157">
        <f t="shared" si="5"/>
        <v>19</v>
      </c>
      <c r="C36" s="157">
        <f t="shared" si="5"/>
        <v>2043</v>
      </c>
      <c r="D36" s="158">
        <f>+'VI. Cuanti_Beneficios'!O42</f>
        <v>352152003.974062</v>
      </c>
      <c r="E36" s="158">
        <f>+'VI. Cuanti_Beneficios'!I90</f>
        <v>42293335.2697383</v>
      </c>
      <c r="F36" s="158">
        <f>+'VI. Cuanti_Beneficios'!G137</f>
        <v>33868593.5511708</v>
      </c>
      <c r="G36" s="158">
        <f>+'VI. Cuanti_Beneficios'!E184</f>
        <v>3941238.86707697</v>
      </c>
      <c r="H36" s="158">
        <f>+'VI. Cuanti_Beneficios'!H234</f>
        <v>149310929.406502</v>
      </c>
      <c r="I36" s="167">
        <f t="shared" si="4"/>
        <v>581566101.06855</v>
      </c>
      <c r="J36" s="168">
        <v>0</v>
      </c>
      <c r="K36" s="158">
        <f>+'VIII. Costos Op y Mant'!X28</f>
        <v>160233562.81264</v>
      </c>
      <c r="L36" s="158">
        <f>+'IX. Costos MantenimientoMayor'!H27</f>
        <v>0</v>
      </c>
      <c r="M36" s="158">
        <f t="shared" si="0"/>
        <v>160233562.81264</v>
      </c>
      <c r="N36" s="158">
        <f t="shared" si="1"/>
        <v>421332538.25591</v>
      </c>
      <c r="O36" s="158">
        <f t="shared" si="2"/>
        <v>68891236.8000776</v>
      </c>
    </row>
    <row r="37" s="80" customFormat="1" ht="12.75" spans="2:15">
      <c r="B37" s="157">
        <f t="shared" si="5"/>
        <v>20</v>
      </c>
      <c r="C37" s="157">
        <f t="shared" si="5"/>
        <v>2044</v>
      </c>
      <c r="D37" s="158">
        <f>+'VI. Cuanti_Beneficios'!O43</f>
        <v>353403806.981979</v>
      </c>
      <c r="E37" s="158">
        <f>+'VI. Cuanti_Beneficios'!I91</f>
        <v>42443676.3829737</v>
      </c>
      <c r="F37" s="158">
        <f>+'VI. Cuanti_Beneficios'!G138</f>
        <v>33868593.5511708</v>
      </c>
      <c r="G37" s="158">
        <f>+'VI. Cuanti_Beneficios'!E185</f>
        <v>4029916.7415862</v>
      </c>
      <c r="H37" s="158">
        <f>+'VI. Cuanti_Beneficios'!H235</f>
        <v>156611961.852398</v>
      </c>
      <c r="I37" s="167">
        <f t="shared" si="4"/>
        <v>590357955.510108</v>
      </c>
      <c r="J37" s="169">
        <v>0</v>
      </c>
      <c r="K37" s="158">
        <f>+'VIII. Costos Op y Mant'!X29</f>
        <v>160539490.561157</v>
      </c>
      <c r="L37" s="158">
        <f>+'IX. Costos MantenimientoMayor'!H28</f>
        <v>0</v>
      </c>
      <c r="M37" s="158">
        <f t="shared" si="0"/>
        <v>160539490.561157</v>
      </c>
      <c r="N37" s="158">
        <f t="shared" si="1"/>
        <v>429818464.948951</v>
      </c>
      <c r="O37" s="158">
        <f t="shared" si="2"/>
        <v>63889776.0217803</v>
      </c>
    </row>
    <row r="38" s="80" customFormat="1" ht="12.75" spans="2:15">
      <c r="B38" s="157">
        <f t="shared" ref="B38:C38" si="6">B37+1</f>
        <v>21</v>
      </c>
      <c r="C38" s="157">
        <f t="shared" si="6"/>
        <v>2045</v>
      </c>
      <c r="D38" s="158">
        <f>+'VI. Cuanti_Beneficios'!O44</f>
        <v>354506419.457824</v>
      </c>
      <c r="E38" s="158">
        <f>+'VI. Cuanti_Beneficios'!I92</f>
        <v>42576099.7643183</v>
      </c>
      <c r="F38" s="158">
        <f>+'VI. Cuanti_Beneficios'!G139</f>
        <v>33868593.5511708</v>
      </c>
      <c r="G38" s="158">
        <f>+'VI. Cuanti_Beneficios'!E186</f>
        <v>4120589.86827189</v>
      </c>
      <c r="H38" s="158">
        <f>+'VI. Cuanti_Beneficios'!H236</f>
        <v>163962804.809454</v>
      </c>
      <c r="I38" s="167">
        <f t="shared" si="4"/>
        <v>599034507.451039</v>
      </c>
      <c r="J38" s="168">
        <v>0</v>
      </c>
      <c r="K38" s="158">
        <f>+'VIII. Costos Op y Mant'!X30</f>
        <v>160808957.681853</v>
      </c>
      <c r="L38" s="158">
        <f>+'IX. Costos MantenimientoMayor'!H29</f>
        <v>0</v>
      </c>
      <c r="M38" s="158">
        <f t="shared" si="0"/>
        <v>160808957.681853</v>
      </c>
      <c r="N38" s="158">
        <f t="shared" si="1"/>
        <v>438225549.769186</v>
      </c>
      <c r="O38" s="158">
        <f t="shared" si="2"/>
        <v>59217668.7368788</v>
      </c>
    </row>
    <row r="39" s="80" customFormat="1" ht="12.75" spans="2:15">
      <c r="B39" s="157">
        <f t="shared" ref="B39:C39" si="7">B38+1</f>
        <v>22</v>
      </c>
      <c r="C39" s="157">
        <f t="shared" si="7"/>
        <v>2046</v>
      </c>
      <c r="D39" s="158">
        <f>+'VI. Cuanti_Beneficios'!O45</f>
        <v>355481494.3764</v>
      </c>
      <c r="E39" s="158">
        <f>+'VI. Cuanti_Beneficios'!I93</f>
        <v>42693205.9286424</v>
      </c>
      <c r="F39" s="158">
        <f>+'VI. Cuanti_Beneficios'!G140</f>
        <v>33868593.5511708</v>
      </c>
      <c r="G39" s="158">
        <f>+'VI. Cuanti_Beneficios'!E187</f>
        <v>4213303.14030801</v>
      </c>
      <c r="H39" s="158">
        <f>+'VI. Cuanti_Beneficios'!H237</f>
        <v>171377672.357053</v>
      </c>
      <c r="I39" s="167">
        <f t="shared" si="4"/>
        <v>607634269.353575</v>
      </c>
      <c r="J39" s="168">
        <v>0</v>
      </c>
      <c r="K39" s="158">
        <f>+'VIII. Costos Op y Mant'!X31</f>
        <v>161047255.938519</v>
      </c>
      <c r="L39" s="158">
        <f>+'IX. Costos MantenimientoMayor'!H30</f>
        <v>188740447</v>
      </c>
      <c r="M39" s="158">
        <f t="shared" si="0"/>
        <v>349787702.938519</v>
      </c>
      <c r="N39" s="158">
        <f t="shared" si="1"/>
        <v>257846566.415055</v>
      </c>
      <c r="O39" s="158">
        <f t="shared" si="2"/>
        <v>31675412.483886</v>
      </c>
    </row>
    <row r="40" s="80" customFormat="1" ht="12.75" spans="2:15">
      <c r="B40" s="157">
        <f t="shared" ref="B40:C40" si="8">B39+1</f>
        <v>23</v>
      </c>
      <c r="C40" s="157">
        <f t="shared" si="8"/>
        <v>2047</v>
      </c>
      <c r="D40" s="158">
        <f>+'VI. Cuanti_Beneficios'!O46</f>
        <v>356350300.794519</v>
      </c>
      <c r="E40" s="158">
        <f>+'VI. Cuanti_Beneficios'!I94</f>
        <v>42797549.2823968</v>
      </c>
      <c r="F40" s="158">
        <f>+'VI. Cuanti_Beneficios'!G141</f>
        <v>33868593.5511708</v>
      </c>
      <c r="G40" s="158">
        <f>+'VI. Cuanti_Beneficios'!E188</f>
        <v>4308102.46096494</v>
      </c>
      <c r="H40" s="158">
        <f>+'VI. Cuanti_Beneficios'!H238</f>
        <v>178867787.782133</v>
      </c>
      <c r="I40" s="167">
        <f t="shared" si="4"/>
        <v>616192333.871185</v>
      </c>
      <c r="J40" s="169">
        <v>0</v>
      </c>
      <c r="K40" s="158">
        <f>+'VIII. Costos Op y Mant'!X32</f>
        <v>161259583.269346</v>
      </c>
      <c r="L40" s="158">
        <f>+'IX. Costos MantenimientoMayor'!H31</f>
        <v>49394500</v>
      </c>
      <c r="M40" s="158">
        <f t="shared" si="0"/>
        <v>210654083.269346</v>
      </c>
      <c r="N40" s="158">
        <f t="shared" si="1"/>
        <v>405538250.601838</v>
      </c>
      <c r="O40" s="158">
        <f t="shared" si="2"/>
        <v>45289764.7423152</v>
      </c>
    </row>
    <row r="41" s="80" customFormat="1" ht="12.75" spans="2:15">
      <c r="B41" s="157">
        <f t="shared" ref="B41:C41" si="9">B40+1</f>
        <v>24</v>
      </c>
      <c r="C41" s="157">
        <f t="shared" si="9"/>
        <v>2048</v>
      </c>
      <c r="D41" s="158">
        <f>+'VI. Cuanti_Beneficios'!O47</f>
        <v>357132111.395428</v>
      </c>
      <c r="E41" s="158">
        <f>+'VI. Cuanti_Beneficios'!I95</f>
        <v>42891444.4682499</v>
      </c>
      <c r="F41" s="158">
        <f>+'VI. Cuanti_Beneficios'!G142</f>
        <v>33868593.5511708</v>
      </c>
      <c r="G41" s="158">
        <f>+'VI. Cuanti_Beneficios'!E189</f>
        <v>4405034.76633665</v>
      </c>
      <c r="H41" s="158">
        <f>+'VI. Cuanti_Beneficios'!H239</f>
        <v>186443725.277937</v>
      </c>
      <c r="I41" s="167">
        <f t="shared" si="4"/>
        <v>624740909.459122</v>
      </c>
      <c r="J41" s="168">
        <v>0</v>
      </c>
      <c r="K41" s="158">
        <f>+'VIII. Costos Op y Mant'!X33</f>
        <v>161450649.719411</v>
      </c>
      <c r="L41" s="158">
        <f>+'IX. Costos MantenimientoMayor'!H32</f>
        <v>1750000</v>
      </c>
      <c r="M41" s="158">
        <f t="shared" si="0"/>
        <v>163200649.719411</v>
      </c>
      <c r="N41" s="158">
        <f t="shared" si="1"/>
        <v>461540259.739711</v>
      </c>
      <c r="O41" s="158">
        <f t="shared" si="2"/>
        <v>46858150.8687359</v>
      </c>
    </row>
    <row r="42" s="80" customFormat="1" ht="12.75" spans="2:15">
      <c r="B42" s="157">
        <f t="shared" ref="B42:C42" si="10">B41+1</f>
        <v>25</v>
      </c>
      <c r="C42" s="157">
        <f t="shared" si="10"/>
        <v>2049</v>
      </c>
      <c r="D42" s="158">
        <f>+'VI. Cuanti_Beneficios'!O48</f>
        <v>357840440.09248</v>
      </c>
      <c r="E42" s="158">
        <f>+'VI. Cuanti_Beneficios'!I96</f>
        <v>42976514.5025746</v>
      </c>
      <c r="F42" s="158">
        <f>+'VI. Cuanti_Beneficios'!G143</f>
        <v>33868593.5511708</v>
      </c>
      <c r="G42" s="158">
        <f>+'VI. Cuanti_Beneficios'!E190</f>
        <v>4504148.04857922</v>
      </c>
      <c r="H42" s="158">
        <f>+'VI. Cuanti_Beneficios'!H240</f>
        <v>194115557.273952</v>
      </c>
      <c r="I42" s="167">
        <f t="shared" si="4"/>
        <v>633305253.468757</v>
      </c>
      <c r="J42" s="168">
        <v>0</v>
      </c>
      <c r="K42" s="158">
        <f>+'VIII. Costos Op y Mant'!X34</f>
        <v>161623757.949803</v>
      </c>
      <c r="L42" s="158">
        <f>+'IX. Costos MantenimientoMayor'!H33</f>
        <v>0</v>
      </c>
      <c r="M42" s="158">
        <f t="shared" si="0"/>
        <v>161623757.949803</v>
      </c>
      <c r="N42" s="158">
        <f t="shared" si="1"/>
        <v>471681495.518954</v>
      </c>
      <c r="O42" s="158">
        <f t="shared" si="2"/>
        <v>43534314.4505723</v>
      </c>
    </row>
    <row r="43" s="80" customFormat="1" ht="12.75" spans="2:15">
      <c r="B43" s="157">
        <f t="shared" ref="B43:C43" si="11">B42+1</f>
        <v>26</v>
      </c>
      <c r="C43" s="157">
        <f t="shared" si="11"/>
        <v>2050</v>
      </c>
      <c r="D43" s="158">
        <f>+'VI. Cuanti_Beneficios'!O49</f>
        <v>358483733.081521</v>
      </c>
      <c r="E43" s="158">
        <f>+'VI. Cuanti_Beneficios'!I97</f>
        <v>43053773.7706042</v>
      </c>
      <c r="F43" s="158">
        <f>+'VI. Cuanti_Beneficios'!G144</f>
        <v>33868593.5511708</v>
      </c>
      <c r="G43" s="158">
        <f>+'VI. Cuanti_Beneficios'!E191</f>
        <v>4605491.37967225</v>
      </c>
      <c r="H43" s="158">
        <f>+'VI. Cuanti_Beneficios'!H241</f>
        <v>201892964.501901</v>
      </c>
      <c r="I43" s="167">
        <f t="shared" si="4"/>
        <v>641904556.28487</v>
      </c>
      <c r="J43" s="169">
        <v>0</v>
      </c>
      <c r="K43" s="158">
        <f>+'VIII. Costos Op y Mant'!X35</f>
        <v>161780972.123702</v>
      </c>
      <c r="L43" s="158">
        <f>+'IX. Costos MantenimientoMayor'!H34</f>
        <v>14000000</v>
      </c>
      <c r="M43" s="158">
        <f t="shared" si="0"/>
        <v>175780972.123702</v>
      </c>
      <c r="N43" s="158">
        <f t="shared" si="1"/>
        <v>466123584.161168</v>
      </c>
      <c r="O43" s="158">
        <f t="shared" si="2"/>
        <v>39110310.4309325</v>
      </c>
    </row>
    <row r="44" s="80" customFormat="1" ht="12.75" spans="2:15">
      <c r="B44" s="157">
        <f t="shared" ref="B44:C44" si="12">B43+1</f>
        <v>27</v>
      </c>
      <c r="C44" s="157">
        <f t="shared" si="12"/>
        <v>2051</v>
      </c>
      <c r="D44" s="158">
        <f>+'VI. Cuanti_Beneficios'!O50</f>
        <v>359061222.526565</v>
      </c>
      <c r="E44" s="158">
        <f>+'VI. Cuanti_Beneficios'!I98</f>
        <v>43123130.0554992</v>
      </c>
      <c r="F44" s="158">
        <f>+'VI. Cuanti_Beneficios'!G145</f>
        <v>33868593.5511708</v>
      </c>
      <c r="G44" s="158">
        <f>+'VI. Cuanti_Beneficios'!E192</f>
        <v>4709114.93571488</v>
      </c>
      <c r="H44" s="158">
        <f>+'VI. Cuanti_Beneficios'!H242</f>
        <v>209785448.29001</v>
      </c>
      <c r="I44" s="167">
        <f t="shared" si="4"/>
        <v>650547509.35896</v>
      </c>
      <c r="J44" s="168">
        <v>0</v>
      </c>
      <c r="K44" s="158">
        <f>+'VIII. Costos Op y Mant'!X36</f>
        <v>161922104.589911</v>
      </c>
      <c r="L44" s="158">
        <f>+'IX. Costos MantenimientoMayor'!H35</f>
        <v>0</v>
      </c>
      <c r="M44" s="158">
        <f t="shared" si="0"/>
        <v>161922104.589911</v>
      </c>
      <c r="N44" s="158">
        <f t="shared" si="1"/>
        <v>488625404.76905</v>
      </c>
      <c r="O44" s="158">
        <f t="shared" si="2"/>
        <v>37271214.4362243</v>
      </c>
    </row>
    <row r="45" s="80" customFormat="1" ht="12.75" spans="2:15">
      <c r="B45" s="157">
        <f t="shared" ref="B45:C45" si="13">B44+1</f>
        <v>28</v>
      </c>
      <c r="C45" s="157">
        <f t="shared" si="13"/>
        <v>2052</v>
      </c>
      <c r="D45" s="158">
        <f>+'VI. Cuanti_Beneficios'!O51</f>
        <v>359567072.874118</v>
      </c>
      <c r="E45" s="158">
        <f>+'VI. Cuanti_Beneficios'!I99</f>
        <v>43183882.5092804</v>
      </c>
      <c r="F45" s="158">
        <f>+'VI. Cuanti_Beneficios'!G146</f>
        <v>33868593.5511708</v>
      </c>
      <c r="G45" s="158">
        <f>+'VI. Cuanti_Beneficios'!E193</f>
        <v>4815070.02176846</v>
      </c>
      <c r="H45" s="158">
        <f>+'VI. Cuanti_Beneficios'!H243</f>
        <v>217802423.877551</v>
      </c>
      <c r="I45" s="167">
        <f t="shared" si="4"/>
        <v>659237042.833889</v>
      </c>
      <c r="J45" s="168">
        <v>0</v>
      </c>
      <c r="K45" s="158">
        <f>+'VIII. Costos Op y Mant'!X37</f>
        <v>162045729.199322</v>
      </c>
      <c r="L45" s="158">
        <f>+'IX. Costos MantenimientoMayor'!H36</f>
        <v>1750000</v>
      </c>
      <c r="M45" s="158">
        <f t="shared" si="0"/>
        <v>163795729.199322</v>
      </c>
      <c r="N45" s="158">
        <f t="shared" si="1"/>
        <v>495441313.634568</v>
      </c>
      <c r="O45" s="158">
        <f t="shared" si="2"/>
        <v>34355560.165333</v>
      </c>
    </row>
    <row r="46" s="80" customFormat="1" ht="12.75" spans="2:15">
      <c r="B46" s="157">
        <f t="shared" ref="B46:C46" si="14">B45+1</f>
        <v>29</v>
      </c>
      <c r="C46" s="157">
        <f t="shared" si="14"/>
        <v>2053</v>
      </c>
      <c r="D46" s="158">
        <f>+'VI. Cuanti_Beneficios'!O52</f>
        <v>359985006.001279</v>
      </c>
      <c r="E46" s="158">
        <f>+'VI. Cuanti_Beneficios'!I100</f>
        <v>43234076.134953</v>
      </c>
      <c r="F46" s="158">
        <f>+'VI. Cuanti_Beneficios'!G147</f>
        <v>33868593.5511708</v>
      </c>
      <c r="G46" s="158">
        <f>+'VI. Cuanti_Beneficios'!E194</f>
        <v>4923409.09725825</v>
      </c>
      <c r="H46" s="158">
        <f>+'VI. Cuanti_Beneficios'!H244</f>
        <v>225953474.506566</v>
      </c>
      <c r="I46" s="167">
        <f t="shared" si="4"/>
        <v>667964559.291227</v>
      </c>
      <c r="J46" s="169">
        <v>0</v>
      </c>
      <c r="K46" s="158">
        <f>+'VIII. Costos Op y Mant'!X38</f>
        <v>162147867.746533</v>
      </c>
      <c r="L46" s="158">
        <f>+'IX. Costos MantenimientoMayor'!H37</f>
        <v>0</v>
      </c>
      <c r="M46" s="158">
        <f t="shared" si="0"/>
        <v>162147867.746533</v>
      </c>
      <c r="N46" s="158">
        <f t="shared" si="1"/>
        <v>505816691.544694</v>
      </c>
      <c r="O46" s="158">
        <f t="shared" si="2"/>
        <v>31886385.1108105</v>
      </c>
    </row>
    <row r="47" s="80" customFormat="1" ht="12.75" spans="2:15">
      <c r="B47" s="157">
        <f t="shared" ref="B47:C47" si="15">B46+1</f>
        <v>30</v>
      </c>
      <c r="C47" s="157">
        <f t="shared" si="15"/>
        <v>2054</v>
      </c>
      <c r="D47" s="158">
        <f>+'VI. Cuanti_Beneficios'!O53</f>
        <v>360293906.418432</v>
      </c>
      <c r="E47" s="158">
        <f>+'VI. Cuanti_Beneficios'!I101</f>
        <v>43271174.9694341</v>
      </c>
      <c r="F47" s="158">
        <f>+'VI. Cuanti_Beneficios'!G148</f>
        <v>33868593.5511708</v>
      </c>
      <c r="G47" s="158">
        <f>+'VI. Cuanti_Beneficios'!E195</f>
        <v>5034185.80194657</v>
      </c>
      <c r="H47" s="158">
        <f>+'VI. Cuanti_Beneficios'!H245</f>
        <v>234248439.346677</v>
      </c>
      <c r="I47" s="167">
        <f t="shared" si="4"/>
        <v>676716300.087661</v>
      </c>
      <c r="J47" s="168">
        <v>0</v>
      </c>
      <c r="K47" s="158">
        <f>+'VIII. Costos Op y Mant'!X39</f>
        <v>162223359.823591</v>
      </c>
      <c r="L47" s="158">
        <f>+'IX. Costos MantenimientoMayor'!H38</f>
        <v>163247831</v>
      </c>
      <c r="M47" s="158">
        <f t="shared" si="0"/>
        <v>325471190.823591</v>
      </c>
      <c r="N47" s="158">
        <f t="shared" si="1"/>
        <v>351245109.26407</v>
      </c>
      <c r="O47" s="158">
        <f t="shared" si="2"/>
        <v>20129349.0660345</v>
      </c>
    </row>
    <row r="48" s="80" customFormat="1" ht="12.75" spans="2:15">
      <c r="B48" s="157">
        <f t="shared" ref="B48:C48" si="16">B47+1</f>
        <v>31</v>
      </c>
      <c r="C48" s="157">
        <f t="shared" si="16"/>
        <v>2055</v>
      </c>
      <c r="D48" s="158">
        <f>+'VI. Cuanti_Beneficios'!O54</f>
        <v>360474655.009528</v>
      </c>
      <c r="E48" s="158">
        <f>+'VI. Cuanti_Beneficios'!I102</f>
        <v>43292882.8134233</v>
      </c>
      <c r="F48" s="158">
        <f>+'VI. Cuanti_Beneficios'!G149</f>
        <v>33868593.5511708</v>
      </c>
      <c r="G48" s="158">
        <f>+'VI. Cuanti_Beneficios'!E196</f>
        <v>5147454.98249036</v>
      </c>
      <c r="H48" s="158">
        <f>+'VI. Cuanti_Beneficios'!H246</f>
        <v>242697370.243744</v>
      </c>
      <c r="I48" s="167">
        <f t="shared" si="4"/>
        <v>685480956.600357</v>
      </c>
      <c r="J48" s="168">
        <v>0</v>
      </c>
      <c r="K48" s="158">
        <f>+'VIII. Costos Op y Mant'!X40</f>
        <v>162267532.915661</v>
      </c>
      <c r="L48" s="158">
        <f>+'IX. Costos MantenimientoMayor'!H39</f>
        <v>0</v>
      </c>
      <c r="M48" s="158">
        <f t="shared" si="0"/>
        <v>162267532.915661</v>
      </c>
      <c r="N48" s="158">
        <f t="shared" si="1"/>
        <v>523213423.684696</v>
      </c>
      <c r="O48" s="158">
        <f t="shared" si="2"/>
        <v>27258731.2537463</v>
      </c>
    </row>
    <row r="49" s="80" customFormat="1" ht="12.75" spans="2:15">
      <c r="B49" s="157">
        <f t="shared" ref="B49:C49" si="17">B48+1</f>
        <v>32</v>
      </c>
      <c r="C49" s="157">
        <f t="shared" si="17"/>
        <v>2056</v>
      </c>
      <c r="D49" s="158">
        <f>+'VI. Cuanti_Beneficios'!O55</f>
        <v>360516194.936369</v>
      </c>
      <c r="E49" s="158">
        <f>+'VI. Cuanti_Beneficios'!I103</f>
        <v>43297871.7444336</v>
      </c>
      <c r="F49" s="158">
        <f>+'VI. Cuanti_Beneficios'!G150</f>
        <v>33868593.5511708</v>
      </c>
      <c r="G49" s="158">
        <f>+'VI. Cuanti_Beneficios'!E197</f>
        <v>5263272.7195964</v>
      </c>
      <c r="H49" s="158">
        <f>+'VI. Cuanti_Beneficios'!H247</f>
        <v>251310376.195389</v>
      </c>
      <c r="I49" s="167">
        <f t="shared" si="4"/>
        <v>694256309.146959</v>
      </c>
      <c r="J49" s="169">
        <v>0</v>
      </c>
      <c r="K49" s="158">
        <f>+'VIII. Costos Op y Mant'!X41</f>
        <v>162277684.845487</v>
      </c>
      <c r="L49" s="158">
        <f>+'IX. Costos MantenimientoMayor'!H40</f>
        <v>1750000</v>
      </c>
      <c r="M49" s="158">
        <f t="shared" si="0"/>
        <v>164027684.845487</v>
      </c>
      <c r="N49" s="158">
        <f t="shared" si="1"/>
        <v>530228624.301473</v>
      </c>
      <c r="O49" s="158">
        <f t="shared" si="2"/>
        <v>25112921.7996578</v>
      </c>
    </row>
    <row r="50" s="80" customFormat="1" ht="12.75" spans="2:15">
      <c r="B50" s="157">
        <f t="shared" ref="B50:C50" si="18">B49+1</f>
        <v>33</v>
      </c>
      <c r="C50" s="157">
        <f t="shared" si="18"/>
        <v>2057</v>
      </c>
      <c r="D50" s="158">
        <f>+'VI. Cuanti_Beneficios'!O56</f>
        <v>360412383.511067</v>
      </c>
      <c r="E50" s="158">
        <f>+'VI. Cuanti_Beneficios'!I104</f>
        <v>43285404.0277499</v>
      </c>
      <c r="F50" s="158">
        <f>+'VI. Cuanti_Beneficios'!G151</f>
        <v>33868593.5511708</v>
      </c>
      <c r="G50" s="158">
        <f>+'VI. Cuanti_Beneficios'!E198</f>
        <v>5381696.35578731</v>
      </c>
      <c r="H50" s="158">
        <f>+'VI. Cuanti_Beneficios'!H248</f>
        <v>260097586.022714</v>
      </c>
      <c r="I50" s="167">
        <f t="shared" si="4"/>
        <v>703045663.468489</v>
      </c>
      <c r="J50" s="168">
        <v>0</v>
      </c>
      <c r="K50" s="158">
        <f>+'VIII. Costos Op y Mant'!X42</f>
        <v>162252314.403482</v>
      </c>
      <c r="L50" s="158">
        <f>+'IX. Costos MantenimientoMayor'!H41</f>
        <v>49394500</v>
      </c>
      <c r="M50" s="158">
        <f t="shared" si="0"/>
        <v>211646814.403482</v>
      </c>
      <c r="N50" s="158">
        <f t="shared" si="1"/>
        <v>491398849.065006</v>
      </c>
      <c r="O50" s="158">
        <f t="shared" si="2"/>
        <v>21158044.42808</v>
      </c>
    </row>
    <row r="51" s="80" customFormat="1" ht="12.75" spans="2:15">
      <c r="B51" s="157">
        <f t="shared" ref="B51:C51" si="19">B50+1</f>
        <v>34</v>
      </c>
      <c r="C51" s="157">
        <f t="shared" si="19"/>
        <v>2058</v>
      </c>
      <c r="D51" s="158">
        <f>+'VI. Cuanti_Beneficios'!O57</f>
        <v>360166829.562755</v>
      </c>
      <c r="E51" s="158">
        <f>+'VI. Cuanti_Beneficios'!I105</f>
        <v>43255913.0825173</v>
      </c>
      <c r="F51" s="158">
        <f>+'VI. Cuanti_Beneficios'!G152</f>
        <v>33868593.5511708</v>
      </c>
      <c r="G51" s="158">
        <f>+'VI. Cuanti_Beneficios'!E199</f>
        <v>5502784.52379253</v>
      </c>
      <c r="H51" s="158">
        <f>+'VI. Cuanti_Beneficios'!H249</f>
        <v>269068950.661626</v>
      </c>
      <c r="I51" s="167">
        <f t="shared" si="4"/>
        <v>711863071.381862</v>
      </c>
      <c r="J51" s="168">
        <v>0</v>
      </c>
      <c r="K51" s="158">
        <f>+'VIII. Costos Op y Mant'!X43</f>
        <v>162192303.55028</v>
      </c>
      <c r="L51" s="158">
        <f>+'IX. Costos MantenimientoMayor'!H42</f>
        <v>14000000</v>
      </c>
      <c r="M51" s="158">
        <f t="shared" si="0"/>
        <v>176192303.55028</v>
      </c>
      <c r="N51" s="158">
        <f t="shared" si="1"/>
        <v>535670767.831582</v>
      </c>
      <c r="O51" s="158">
        <f t="shared" si="2"/>
        <v>20967500.000105</v>
      </c>
    </row>
    <row r="52" s="80" customFormat="1" ht="12.75" spans="2:15">
      <c r="B52" s="157">
        <f t="shared" ref="B52:C52" si="20">B51+1</f>
        <v>35</v>
      </c>
      <c r="C52" s="157">
        <f t="shared" si="20"/>
        <v>2059</v>
      </c>
      <c r="D52" s="158">
        <f>+'VI. Cuanti_Beneficios'!O58</f>
        <v>359789514.959252</v>
      </c>
      <c r="E52" s="158">
        <f>+'VI. Cuanti_Beneficios'!I106</f>
        <v>43210597.7276478</v>
      </c>
      <c r="F52" s="158">
        <f>+'VI. Cuanti_Beneficios'!G153</f>
        <v>33868593.5511708</v>
      </c>
      <c r="G52" s="158">
        <f>+'VI. Cuanti_Beneficios'!E200</f>
        <v>5626597.17557786</v>
      </c>
      <c r="H52" s="158">
        <f>+'VI. Cuanti_Beneficios'!H250</f>
        <v>278234163.634638</v>
      </c>
      <c r="I52" s="167">
        <f t="shared" si="4"/>
        <v>720729467.048287</v>
      </c>
      <c r="J52" s="169">
        <v>0</v>
      </c>
      <c r="K52" s="158">
        <f>+'VIII. Costos Op y Mant'!X44</f>
        <v>162100091.751457</v>
      </c>
      <c r="L52" s="158">
        <f>+'IX. Costos MantenimientoMayor'!H43</f>
        <v>0</v>
      </c>
      <c r="M52" s="158">
        <f t="shared" si="0"/>
        <v>162100091.751457</v>
      </c>
      <c r="N52" s="158">
        <f t="shared" si="1"/>
        <v>558629375.29683</v>
      </c>
      <c r="O52" s="158">
        <f t="shared" si="2"/>
        <v>19878325.0832323</v>
      </c>
    </row>
    <row r="53" s="80" customFormat="1" ht="12.75" spans="2:15">
      <c r="B53" s="157">
        <f t="shared" ref="B53:C53" si="21">B52+1</f>
        <v>36</v>
      </c>
      <c r="C53" s="157">
        <f t="shared" si="21"/>
        <v>2060</v>
      </c>
      <c r="D53" s="158">
        <f>+'VI. Cuanti_Beneficios'!O59</f>
        <v>359295182.151489</v>
      </c>
      <c r="E53" s="158">
        <f>+'VI. Cuanti_Beneficios'!I107</f>
        <v>43151228.5264572</v>
      </c>
      <c r="F53" s="158">
        <f>+'VI. Cuanti_Beneficios'!G154</f>
        <v>33868593.5511708</v>
      </c>
      <c r="G53" s="158">
        <f>+'VI. Cuanti_Beneficios'!E201</f>
        <v>5753195.61202836</v>
      </c>
      <c r="H53" s="158">
        <f>+'VI. Cuanti_Beneficios'!H251</f>
        <v>287602592.841053</v>
      </c>
      <c r="I53" s="167">
        <f t="shared" si="4"/>
        <v>729670792.682198</v>
      </c>
      <c r="J53" s="168">
        <v>0</v>
      </c>
      <c r="K53" s="158">
        <f>+'VIII. Costos Op y Mant'!X45</f>
        <v>161979281.910019</v>
      </c>
      <c r="L53" s="158">
        <f>+'IX. Costos MantenimientoMayor'!H44</f>
        <v>0</v>
      </c>
      <c r="M53" s="158">
        <f t="shared" si="0"/>
        <v>161979281.910019</v>
      </c>
      <c r="N53" s="158">
        <f t="shared" si="1"/>
        <v>567691510.772178</v>
      </c>
      <c r="O53" s="158">
        <f t="shared" si="2"/>
        <v>18364357.3118329</v>
      </c>
    </row>
    <row r="54" s="80" customFormat="1" ht="12.75" spans="2:15">
      <c r="B54" s="157">
        <f t="shared" ref="B54:C54" si="22">B53+1</f>
        <v>37</v>
      </c>
      <c r="C54" s="157">
        <f t="shared" si="22"/>
        <v>2061</v>
      </c>
      <c r="D54" s="158">
        <f>+'VI. Cuanti_Beneficios'!O60</f>
        <v>358696500.433232</v>
      </c>
      <c r="E54" s="158">
        <f>+'VI. Cuanti_Beneficios'!I108</f>
        <v>43079327.0567954</v>
      </c>
      <c r="F54" s="158">
        <f>+'VI. Cuanti_Beneficios'!G155</f>
        <v>33868593.5511708</v>
      </c>
      <c r="G54" s="158">
        <f>+'VI. Cuanti_Beneficios'!E202</f>
        <v>5882642.513299</v>
      </c>
      <c r="H54" s="158">
        <f>+'VI. Cuanti_Beneficios'!H252</f>
        <v>297183390.933186</v>
      </c>
      <c r="I54" s="167">
        <f t="shared" si="4"/>
        <v>738710454.487684</v>
      </c>
      <c r="J54" s="168">
        <v>0</v>
      </c>
      <c r="K54" s="158">
        <f>+'VIII. Costos Op y Mant'!X46</f>
        <v>161832970.270739</v>
      </c>
      <c r="L54" s="158">
        <f>+'IX. Costos MantenimientoMayor'!H45</f>
        <v>0</v>
      </c>
      <c r="M54" s="158">
        <f t="shared" si="0"/>
        <v>161832970.270739</v>
      </c>
      <c r="N54" s="158">
        <f t="shared" si="1"/>
        <v>576877484.216945</v>
      </c>
      <c r="O54" s="158">
        <f t="shared" si="2"/>
        <v>16965014.5998567</v>
      </c>
    </row>
    <row r="55" s="80" customFormat="1" ht="12.75" spans="2:15">
      <c r="B55" s="157">
        <f t="shared" ref="B55:C55" si="23">B54+1</f>
        <v>38</v>
      </c>
      <c r="C55" s="157">
        <f t="shared" si="23"/>
        <v>2062</v>
      </c>
      <c r="D55" s="158">
        <f>+'VI. Cuanti_Beneficios'!O61</f>
        <v>358008519.389808</v>
      </c>
      <c r="E55" s="158">
        <f>+'VI. Cuanti_Beneficios'!I109</f>
        <v>42996700.7687141</v>
      </c>
      <c r="F55" s="158">
        <f>+'VI. Cuanti_Beneficios'!G156</f>
        <v>33868593.5511708</v>
      </c>
      <c r="G55" s="158">
        <f>+'VI. Cuanti_Beneficios'!E203</f>
        <v>6015001.96984823</v>
      </c>
      <c r="H55" s="158">
        <f>+'VI. Cuanti_Beneficios'!H253</f>
        <v>306985419.247329</v>
      </c>
      <c r="I55" s="167">
        <f t="shared" si="4"/>
        <v>747874234.92687</v>
      </c>
      <c r="J55" s="169">
        <v>0</v>
      </c>
      <c r="K55" s="158">
        <f>+'VIII. Costos Op y Mant'!X47</f>
        <v>161664834.797101</v>
      </c>
      <c r="L55" s="158">
        <f>+'IX. Costos MantenimientoMayor'!H46</f>
        <v>1750000</v>
      </c>
      <c r="M55" s="158">
        <f t="shared" si="0"/>
        <v>163414834.797101</v>
      </c>
      <c r="N55" s="158">
        <f t="shared" si="1"/>
        <v>584459400.129769</v>
      </c>
      <c r="O55" s="158">
        <f t="shared" si="2"/>
        <v>15625442.0290175</v>
      </c>
    </row>
    <row r="56" s="80" customFormat="1" ht="12.75" spans="2:15">
      <c r="B56" s="157">
        <f t="shared" ref="B56:C56" si="24">B55+1</f>
        <v>39</v>
      </c>
      <c r="C56" s="157">
        <f t="shared" si="24"/>
        <v>2063</v>
      </c>
      <c r="D56" s="158">
        <f>+'VI. Cuanti_Beneficios'!O62</f>
        <v>357247670.711316</v>
      </c>
      <c r="E56" s="158">
        <f>+'VI. Cuanti_Beneficios'!I110</f>
        <v>42905323.1025761</v>
      </c>
      <c r="F56" s="158">
        <f>+'VI. Cuanti_Beneficios'!G157</f>
        <v>33868593.5511708</v>
      </c>
      <c r="G56" s="158">
        <f>+'VI. Cuanti_Beneficios'!E204</f>
        <v>6150339.51416981</v>
      </c>
      <c r="H56" s="158">
        <f>+'VI. Cuanti_Beneficios'!H254</f>
        <v>317017233.469586</v>
      </c>
      <c r="I56" s="167">
        <f t="shared" si="4"/>
        <v>757189160.348819</v>
      </c>
      <c r="J56" s="168">
        <v>0</v>
      </c>
      <c r="K56" s="158">
        <f>+'VIII. Costos Op y Mant'!X48</f>
        <v>161478891.224749</v>
      </c>
      <c r="L56" s="158">
        <f>+'IX. Costos MantenimientoMayor'!H47</f>
        <v>0</v>
      </c>
      <c r="M56" s="158">
        <f t="shared" si="0"/>
        <v>161478891.224749</v>
      </c>
      <c r="N56" s="158">
        <f t="shared" si="1"/>
        <v>595710269.12407</v>
      </c>
      <c r="O56" s="158">
        <f t="shared" si="2"/>
        <v>14478393.1553933</v>
      </c>
    </row>
    <row r="57" s="80" customFormat="1" ht="12.75" spans="2:15">
      <c r="B57" s="159"/>
      <c r="C57" s="159"/>
      <c r="D57" s="159"/>
      <c r="G57" s="160"/>
      <c r="H57" s="161">
        <f>+'VI. Cuanti_Beneficios'!H255</f>
        <v>6227837230.29504</v>
      </c>
      <c r="I57" s="170">
        <f>+SUM(I17:I56)</f>
        <v>22443815670.9995</v>
      </c>
      <c r="J57" s="171">
        <f>+SUM(J17:J56)</f>
        <v>1220645450.70894</v>
      </c>
      <c r="K57" s="158">
        <f>+SUM(K17:K56)</f>
        <v>6147634598.80354</v>
      </c>
      <c r="L57" s="158">
        <f>SUM(L17:L56)</f>
        <v>939976669</v>
      </c>
      <c r="N57" s="172" t="s">
        <v>1043</v>
      </c>
      <c r="O57" s="173">
        <f>SUM(O17:O56)</f>
        <v>1691088636.73467</v>
      </c>
    </row>
    <row r="58" s="80" customFormat="1" ht="12.75" spans="2:15">
      <c r="B58" s="159"/>
      <c r="C58" s="159"/>
      <c r="D58" s="159"/>
      <c r="G58" s="160"/>
      <c r="K58" s="159"/>
      <c r="L58" s="174"/>
      <c r="N58" s="172" t="s">
        <v>1044</v>
      </c>
      <c r="O58" s="175">
        <f>IRR(N17:N56)</f>
        <v>0.22253691875865</v>
      </c>
    </row>
    <row r="59" s="80" customFormat="1" ht="12.75" spans="2:15">
      <c r="B59" s="159"/>
      <c r="C59" s="159"/>
      <c r="D59" s="159"/>
      <c r="G59" s="160"/>
      <c r="K59" s="159"/>
      <c r="L59" s="159"/>
      <c r="N59" s="172" t="s">
        <v>1045</v>
      </c>
      <c r="O59" s="176">
        <f>+N20/J57</f>
        <v>0.222025328912623</v>
      </c>
    </row>
    <row r="60" spans="2:14">
      <c r="B60" s="162"/>
      <c r="C60" s="162"/>
      <c r="D60" s="162"/>
      <c r="G60" s="147"/>
      <c r="K60" s="149"/>
      <c r="L60" s="149"/>
      <c r="M60" s="149"/>
      <c r="N60" s="149"/>
    </row>
    <row r="61" spans="16:16">
      <c r="P61" s="177"/>
    </row>
  </sheetData>
  <mergeCells count="17">
    <mergeCell ref="B2:Q2"/>
    <mergeCell ref="E6:L6"/>
    <mergeCell ref="B60:D60"/>
    <mergeCell ref="B15:B16"/>
    <mergeCell ref="C15:C16"/>
    <mergeCell ref="D15:D16"/>
    <mergeCell ref="E11:E12"/>
    <mergeCell ref="E15:E16"/>
    <mergeCell ref="F15:F16"/>
    <mergeCell ref="G15:G16"/>
    <mergeCell ref="H15:H16"/>
    <mergeCell ref="J15:J16"/>
    <mergeCell ref="K15:K16"/>
    <mergeCell ref="L15:L16"/>
    <mergeCell ref="M15:M16"/>
    <mergeCell ref="N15:N16"/>
    <mergeCell ref="O15:O16"/>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249977111117893"/>
  </sheetPr>
  <dimension ref="A2:AL117"/>
  <sheetViews>
    <sheetView zoomScale="90" zoomScaleNormal="90" topLeftCell="E50" workbookViewId="0">
      <selection activeCell="O66" sqref="O66:R71"/>
    </sheetView>
  </sheetViews>
  <sheetFormatPr defaultColWidth="11.552380952381" defaultRowHeight="11.25"/>
  <cols>
    <col min="1" max="1" width="18.4380952380952" style="1" customWidth="1"/>
    <col min="2" max="2" width="21" style="1" customWidth="1"/>
    <col min="3" max="3" width="18.4380952380952" style="1" customWidth="1"/>
    <col min="4" max="4" width="18.3333333333333" style="1" customWidth="1"/>
    <col min="5" max="5" width="20.1047619047619" style="1" customWidth="1"/>
    <col min="6" max="6" width="18" style="1" customWidth="1"/>
    <col min="7" max="7" width="18.6666666666667" style="1" customWidth="1"/>
    <col min="8" max="8" width="18.552380952381" style="1" customWidth="1"/>
    <col min="9" max="9" width="27.3333333333333" style="1" customWidth="1"/>
    <col min="10" max="10" width="18.6666666666667" style="1" customWidth="1"/>
    <col min="11" max="11" width="19.3333333333333" style="1" customWidth="1"/>
    <col min="12" max="12" width="24.1047619047619" style="1" customWidth="1"/>
    <col min="13" max="13" width="23.3333333333333" style="1" customWidth="1"/>
    <col min="14" max="14" width="18" style="1" customWidth="1"/>
    <col min="15" max="15" width="17.6666666666667" style="1" customWidth="1"/>
    <col min="16" max="16" width="18.4380952380952" style="1" customWidth="1"/>
    <col min="17" max="17" width="17.4380952380952" style="1" customWidth="1"/>
    <col min="18" max="18" width="16.6666666666667" style="1" customWidth="1"/>
    <col min="19" max="19" width="11.552380952381" style="1"/>
    <col min="20" max="20" width="16.6666666666667" style="1" customWidth="1"/>
    <col min="21" max="21" width="23.3333333333333" style="1" customWidth="1"/>
    <col min="22" max="24" width="16.6666666666667" style="1" customWidth="1"/>
    <col min="25" max="25" width="17.4380952380952" style="1" customWidth="1"/>
    <col min="26" max="34" width="16.6666666666667" style="1" customWidth="1"/>
    <col min="35" max="35" width="18.4380952380952" style="1" customWidth="1"/>
    <col min="36" max="37" width="16.6666666666667" style="1" customWidth="1"/>
    <col min="38" max="16384" width="11.552380952381" style="1"/>
  </cols>
  <sheetData>
    <row r="2" customFormat="1" ht="21" customHeight="1" spans="1:17">
      <c r="A2" s="2" t="s">
        <v>0</v>
      </c>
      <c r="B2" s="2"/>
      <c r="C2" s="2"/>
      <c r="D2" s="2"/>
      <c r="E2" s="2"/>
      <c r="F2" s="2"/>
      <c r="G2" s="2"/>
      <c r="H2" s="2"/>
      <c r="I2" s="2"/>
      <c r="J2" s="2"/>
      <c r="K2" s="2"/>
      <c r="L2" s="2"/>
      <c r="M2" s="2"/>
      <c r="N2" s="2"/>
      <c r="O2" s="2"/>
      <c r="P2" s="2"/>
      <c r="Q2" s="2"/>
    </row>
    <row r="3" customFormat="1" ht="15" spans="2:8">
      <c r="B3" s="3"/>
      <c r="C3" s="3"/>
      <c r="D3" s="4"/>
      <c r="E3" s="4"/>
      <c r="F3" s="5"/>
      <c r="G3" s="5"/>
      <c r="H3" s="5"/>
    </row>
    <row r="4" customFormat="1" ht="15" customHeight="1" spans="1:17">
      <c r="A4" s="6" t="s">
        <v>1046</v>
      </c>
      <c r="B4" s="6"/>
      <c r="C4" s="6"/>
      <c r="D4" s="6"/>
      <c r="E4" s="6"/>
      <c r="F4" s="6"/>
      <c r="G4" s="6"/>
      <c r="H4" s="6"/>
      <c r="I4" s="6"/>
      <c r="J4" s="6"/>
      <c r="K4" s="6"/>
      <c r="L4" s="6"/>
      <c r="M4" s="6"/>
      <c r="N4" s="6"/>
      <c r="O4" s="6"/>
      <c r="P4" s="6"/>
      <c r="Q4" s="6"/>
    </row>
    <row r="5" s="80" customFormat="1" ht="15" customHeight="1" spans="1:17">
      <c r="A5" s="81"/>
      <c r="B5" s="81"/>
      <c r="C5" s="81"/>
      <c r="D5" s="81"/>
      <c r="E5" s="81"/>
      <c r="F5" s="81"/>
      <c r="G5" s="81"/>
      <c r="H5" s="81"/>
      <c r="I5" s="81"/>
      <c r="J5" s="81"/>
      <c r="K5" s="81"/>
      <c r="L5" s="81"/>
      <c r="M5" s="81"/>
      <c r="N5" s="81"/>
      <c r="O5" s="81"/>
      <c r="P5" s="81"/>
      <c r="Q5" s="81"/>
    </row>
    <row r="6" s="80" customFormat="1" ht="12.75" spans="1:1">
      <c r="A6" s="80" t="s">
        <v>1024</v>
      </c>
    </row>
    <row r="7" s="80" customFormat="1" ht="15" spans="1:37">
      <c r="A7" s="82" t="s">
        <v>1025</v>
      </c>
      <c r="B7" s="83">
        <v>2024</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118"/>
    </row>
    <row r="8" s="80" customFormat="1" ht="25.5" spans="1:37">
      <c r="A8" s="82" t="s">
        <v>5</v>
      </c>
      <c r="B8" s="85">
        <v>0.1</v>
      </c>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118"/>
    </row>
    <row r="9" s="80" customFormat="1" ht="25.5" spans="1:37">
      <c r="A9" s="82" t="s">
        <v>1047</v>
      </c>
      <c r="B9" s="87">
        <f>+D57</f>
        <v>1220645450.70894</v>
      </c>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118"/>
    </row>
    <row r="10" s="80" customFormat="1" ht="15" spans="1:37">
      <c r="A10" s="82" t="s">
        <v>1027</v>
      </c>
      <c r="B10" s="83">
        <v>2</v>
      </c>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118"/>
    </row>
    <row r="11" s="80" customFormat="1" ht="15" spans="1:37">
      <c r="A11" s="82" t="s">
        <v>1028</v>
      </c>
      <c r="B11" s="83">
        <f>+COUNT(C19:C56)</f>
        <v>38</v>
      </c>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118"/>
    </row>
    <row r="12" s="80" customFormat="1" ht="25.5" spans="1:37">
      <c r="A12" s="82" t="s">
        <v>1048</v>
      </c>
      <c r="B12" s="88">
        <f>+O71</f>
        <v>1.812505999</v>
      </c>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118"/>
    </row>
    <row r="13" s="80" customFormat="1" ht="15" spans="1:37">
      <c r="A13" s="89"/>
      <c r="B13" s="90"/>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118"/>
    </row>
    <row r="14" s="80" customFormat="1" ht="12.75" spans="1:19">
      <c r="A14" s="86"/>
      <c r="B14" s="91"/>
      <c r="C14" s="91"/>
      <c r="D14" s="91"/>
      <c r="E14" s="91"/>
      <c r="F14" s="91"/>
      <c r="G14" s="86"/>
      <c r="H14" s="86"/>
      <c r="I14" s="86"/>
      <c r="J14" s="86"/>
      <c r="K14" s="86"/>
      <c r="L14" s="86"/>
      <c r="M14" s="91"/>
      <c r="N14" s="91"/>
      <c r="O14" s="86"/>
      <c r="P14" s="86"/>
      <c r="Q14" s="86"/>
      <c r="R14" s="86"/>
      <c r="S14" s="86"/>
    </row>
    <row r="15" s="80" customFormat="1" ht="15" spans="1:19">
      <c r="A15" t="s">
        <v>1029</v>
      </c>
      <c r="B15" s="86"/>
      <c r="C15" s="86"/>
      <c r="D15" s="86"/>
      <c r="E15" s="86"/>
      <c r="F15" s="86"/>
      <c r="G15" s="86"/>
      <c r="H15" s="86"/>
      <c r="I15" s="86"/>
      <c r="J15" s="86"/>
      <c r="K15" s="86"/>
      <c r="L15" s="86"/>
      <c r="M15" s="86"/>
      <c r="N15" s="86"/>
      <c r="O15" s="86"/>
      <c r="P15" s="86"/>
      <c r="Q15" s="86"/>
      <c r="R15" s="86"/>
      <c r="S15" s="86"/>
    </row>
    <row r="16" s="80" customFormat="1" ht="41.7" customHeight="1" spans="1:11">
      <c r="A16" s="92" t="s">
        <v>1030</v>
      </c>
      <c r="B16" s="92" t="s">
        <v>200</v>
      </c>
      <c r="C16" s="93" t="s">
        <v>1049</v>
      </c>
      <c r="D16" s="94" t="s">
        <v>1036</v>
      </c>
      <c r="E16" s="94" t="s">
        <v>1037</v>
      </c>
      <c r="F16" s="94" t="s">
        <v>1038</v>
      </c>
      <c r="G16" s="94" t="s">
        <v>1039</v>
      </c>
      <c r="H16" s="95" t="s">
        <v>1040</v>
      </c>
      <c r="I16" s="95" t="s">
        <v>1041</v>
      </c>
      <c r="K16" s="107"/>
    </row>
    <row r="17" s="80" customFormat="1" ht="12.75" spans="1:11">
      <c r="A17" s="96">
        <v>0</v>
      </c>
      <c r="B17" s="96">
        <v>2024</v>
      </c>
      <c r="C17" s="97">
        <f>+'[2]X. Evaluacion Social'!I18</f>
        <v>0</v>
      </c>
      <c r="D17" s="98">
        <f>+'X. Evaluacion Social'!J17</f>
        <v>64081222.7394439</v>
      </c>
      <c r="E17" s="98">
        <f>+'[2]X. Evaluacion Social'!K18</f>
        <v>0</v>
      </c>
      <c r="F17" s="98">
        <f>+'X. Evaluacion Social'!L17</f>
        <v>0</v>
      </c>
      <c r="G17" s="99">
        <f>+'X. Evaluacion Social'!M17</f>
        <v>117424759.296471</v>
      </c>
      <c r="H17" s="100">
        <f>+'X. Evaluacion Social'!N17</f>
        <v>-117424759.296471</v>
      </c>
      <c r="I17" s="98">
        <f>+'X. Evaluacion Social'!O17</f>
        <v>-117424759.296471</v>
      </c>
      <c r="K17" s="108"/>
    </row>
    <row r="18" s="80" customFormat="1" ht="12.75" spans="1:11">
      <c r="A18" s="96">
        <f t="shared" ref="A18:B33" si="0">A17+1</f>
        <v>1</v>
      </c>
      <c r="B18" s="96">
        <f t="shared" si="0"/>
        <v>2025</v>
      </c>
      <c r="C18" s="97">
        <f>+'X. Evaluacion Social'!I18</f>
        <v>0</v>
      </c>
      <c r="D18" s="98">
        <f>+'X. Evaluacion Social'!J18</f>
        <v>988196979.807846</v>
      </c>
      <c r="E18" s="98">
        <f>+'X. Evaluacion Social'!K18</f>
        <v>53343536.5570275</v>
      </c>
      <c r="F18" s="98">
        <f>+'X. Evaluacion Social'!L18</f>
        <v>0</v>
      </c>
      <c r="G18" s="99">
        <f>+'X. Evaluacion Social'!M18</f>
        <v>1041540516.36487</v>
      </c>
      <c r="H18" s="100">
        <f>+'X. Evaluacion Social'!N18</f>
        <v>-1041540516.36487</v>
      </c>
      <c r="I18" s="98">
        <f>+'X. Evaluacion Social'!O18</f>
        <v>-946855014.877157</v>
      </c>
      <c r="K18" s="108"/>
    </row>
    <row r="19" s="80" customFormat="1" ht="12.75" spans="1:11">
      <c r="A19" s="96">
        <f t="shared" si="0"/>
        <v>2</v>
      </c>
      <c r="B19" s="96">
        <f t="shared" si="0"/>
        <v>2026</v>
      </c>
      <c r="C19" s="97">
        <f>+'X. Evaluacion Social'!I19</f>
        <v>410461853.210814</v>
      </c>
      <c r="D19" s="98">
        <f>+'X. Evaluacion Social'!J19</f>
        <v>168367248.161654</v>
      </c>
      <c r="E19" s="98">
        <f>+'X. Evaluacion Social'!K19</f>
        <v>150467875.448339</v>
      </c>
      <c r="F19" s="98">
        <f>+'X. Evaluacion Social'!L19</f>
        <v>0</v>
      </c>
      <c r="G19" s="99">
        <f>+'X. Evaluacion Social'!M19</f>
        <v>318835123.609994</v>
      </c>
      <c r="H19" s="100">
        <f>+'X. Evaluacion Social'!N19</f>
        <v>91626729.6008202</v>
      </c>
      <c r="I19" s="98">
        <f>+'X. Evaluacion Social'!O19</f>
        <v>75724569.9180332</v>
      </c>
      <c r="K19" s="108"/>
    </row>
    <row r="20" s="80" customFormat="1" ht="12.75" spans="1:11">
      <c r="A20" s="96">
        <f t="shared" si="0"/>
        <v>3</v>
      </c>
      <c r="B20" s="96">
        <f t="shared" si="0"/>
        <v>2027</v>
      </c>
      <c r="C20" s="97">
        <f>+'X. Evaluacion Social'!I20</f>
        <v>422286525.049496</v>
      </c>
      <c r="D20" s="98">
        <f>+'[2]X. Evaluacion Social'!J21</f>
        <v>0</v>
      </c>
      <c r="E20" s="98">
        <f>+'X. Evaluacion Social'!K20</f>
        <v>151272317.370145</v>
      </c>
      <c r="F20" s="98">
        <f>+'X. Evaluacion Social'!L20</f>
        <v>0</v>
      </c>
      <c r="G20" s="99">
        <f>+'X. Evaluacion Social'!M20</f>
        <v>151272317.370145</v>
      </c>
      <c r="H20" s="98">
        <f>+'X. Evaluacion Social'!N20</f>
        <v>271014207.679351</v>
      </c>
      <c r="I20" s="98">
        <f>+'X. Evaluacion Social'!O20</f>
        <v>203616985.48411</v>
      </c>
      <c r="K20" s="108"/>
    </row>
    <row r="21" s="80" customFormat="1" ht="12.75" spans="1:11">
      <c r="A21" s="96">
        <f t="shared" si="0"/>
        <v>4</v>
      </c>
      <c r="B21" s="96">
        <f t="shared" si="0"/>
        <v>2028</v>
      </c>
      <c r="C21" s="97">
        <f>+'X. Evaluacion Social'!I21</f>
        <v>433585713.314015</v>
      </c>
      <c r="D21" s="98">
        <f>+'[2]X. Evaluacion Social'!J22</f>
        <v>0</v>
      </c>
      <c r="E21" s="98">
        <f>+'X. Evaluacion Social'!K21</f>
        <v>152027407.026809</v>
      </c>
      <c r="F21" s="98">
        <f>+'X. Evaluacion Social'!L21</f>
        <v>0</v>
      </c>
      <c r="G21" s="99">
        <f>+'X. Evaluacion Social'!M21</f>
        <v>152027407.026809</v>
      </c>
      <c r="H21" s="98">
        <f>+'X. Evaluacion Social'!N21</f>
        <v>281558306.287206</v>
      </c>
      <c r="I21" s="98">
        <f>+'X. Evaluacion Social'!O21</f>
        <v>192308111.663962</v>
      </c>
      <c r="K21" s="108"/>
    </row>
    <row r="22" s="80" customFormat="1" ht="12.75" spans="1:11">
      <c r="A22" s="96">
        <f t="shared" si="0"/>
        <v>5</v>
      </c>
      <c r="B22" s="96">
        <f t="shared" si="0"/>
        <v>2029</v>
      </c>
      <c r="C22" s="97">
        <f>+'X. Evaluacion Social'!I22</f>
        <v>444400494.692293</v>
      </c>
      <c r="D22" s="98">
        <f>+'[2]X. Evaluacion Social'!J23</f>
        <v>0</v>
      </c>
      <c r="E22" s="98">
        <f>+'X. Evaluacion Social'!K22</f>
        <v>152737103.858615</v>
      </c>
      <c r="F22" s="98">
        <f>+'X. Evaluacion Social'!L22</f>
        <v>0</v>
      </c>
      <c r="G22" s="99">
        <f>+'X. Evaluacion Social'!M22</f>
        <v>152737103.858615</v>
      </c>
      <c r="H22" s="98">
        <f>+'X. Evaluacion Social'!N22</f>
        <v>291663390.833678</v>
      </c>
      <c r="I22" s="98">
        <f>+'X. Evaluacion Social'!O22</f>
        <v>181100018.524367</v>
      </c>
      <c r="K22" s="108"/>
    </row>
    <row r="23" s="80" customFormat="1" ht="12.75" spans="1:11">
      <c r="A23" s="96">
        <f t="shared" si="0"/>
        <v>6</v>
      </c>
      <c r="B23" s="96">
        <f t="shared" si="0"/>
        <v>2030</v>
      </c>
      <c r="C23" s="97">
        <f>+'X. Evaluacion Social'!I23</f>
        <v>454784038.252151</v>
      </c>
      <c r="D23" s="98">
        <f>+'[2]X. Evaluacion Social'!J24</f>
        <v>0</v>
      </c>
      <c r="E23" s="98">
        <f>+'X. Evaluacion Social'!K23</f>
        <v>153408482.315736</v>
      </c>
      <c r="F23" s="98">
        <f>+'X. Evaluacion Social'!L23</f>
        <v>0</v>
      </c>
      <c r="G23" s="99">
        <f>+'X. Evaluacion Social'!M23</f>
        <v>153408482.315736</v>
      </c>
      <c r="H23" s="98">
        <f>+'X. Evaluacion Social'!N23</f>
        <v>301375555.936415</v>
      </c>
      <c r="I23" s="98">
        <f>+'X. Evaluacion Social'!O23</f>
        <v>170118644.48157</v>
      </c>
      <c r="K23" s="108"/>
    </row>
    <row r="24" s="80" customFormat="1" ht="12.75" spans="1:12">
      <c r="A24" s="96">
        <f t="shared" si="0"/>
        <v>7</v>
      </c>
      <c r="B24" s="96">
        <f t="shared" si="0"/>
        <v>2031</v>
      </c>
      <c r="C24" s="97">
        <f>+'X. Evaluacion Social'!I24</f>
        <v>465314453.468166</v>
      </c>
      <c r="D24" s="98">
        <f>+'[2]X. Evaluacion Social'!J25</f>
        <v>0</v>
      </c>
      <c r="E24" s="98">
        <f>+'X. Evaluacion Social'!K24</f>
        <v>154048973.385625</v>
      </c>
      <c r="F24" s="98">
        <f>+'X. Evaluacion Social'!L24</f>
        <v>0</v>
      </c>
      <c r="G24" s="99">
        <f>+'X. Evaluacion Social'!M24</f>
        <v>154048973.385625</v>
      </c>
      <c r="H24" s="98">
        <f>+'X. Evaluacion Social'!N24</f>
        <v>311265480.08254</v>
      </c>
      <c r="I24" s="98">
        <f>+'X. Evaluacion Social'!O24</f>
        <v>159728408.029334</v>
      </c>
      <c r="K24" s="108"/>
      <c r="L24" s="86"/>
    </row>
    <row r="25" s="80" customFormat="1" ht="12.75" spans="1:11">
      <c r="A25" s="96">
        <f t="shared" si="0"/>
        <v>8</v>
      </c>
      <c r="B25" s="96">
        <f t="shared" si="0"/>
        <v>2032</v>
      </c>
      <c r="C25" s="97">
        <f>+'X. Evaluacion Social'!I25</f>
        <v>475644616.573626</v>
      </c>
      <c r="D25" s="98">
        <f>+'[2]X. Evaluacion Social'!J26</f>
        <v>0</v>
      </c>
      <c r="E25" s="98">
        <f>+'X. Evaluacion Social'!K25</f>
        <v>154665257.450939</v>
      </c>
      <c r="F25" s="98">
        <f>+'X. Evaluacion Social'!L25</f>
        <v>1750000</v>
      </c>
      <c r="G25" s="99">
        <f>+'X. Evaluacion Social'!M25</f>
        <v>156415257.450939</v>
      </c>
      <c r="H25" s="98">
        <f>+'X. Evaluacion Social'!N25</f>
        <v>319229359.122687</v>
      </c>
      <c r="I25" s="98">
        <f>+'X. Evaluacion Social'!O25</f>
        <v>148922852.010357</v>
      </c>
      <c r="K25" s="108"/>
    </row>
    <row r="26" s="80" customFormat="1" ht="12.75" spans="1:11">
      <c r="A26" s="96">
        <f t="shared" si="0"/>
        <v>9</v>
      </c>
      <c r="B26" s="96">
        <f t="shared" si="0"/>
        <v>2033</v>
      </c>
      <c r="C26" s="97">
        <f>+'X. Evaluacion Social'!I26</f>
        <v>485818204.90797</v>
      </c>
      <c r="D26" s="98">
        <f>+'[2]X. Evaluacion Social'!J27</f>
        <v>0</v>
      </c>
      <c r="E26" s="98">
        <f>+'X. Evaluacion Social'!K26</f>
        <v>155263433.175621</v>
      </c>
      <c r="F26" s="98">
        <f>+'X. Evaluacion Social'!L26</f>
        <v>32378260</v>
      </c>
      <c r="G26" s="99">
        <f>+'X. Evaluacion Social'!M26</f>
        <v>187641693.175621</v>
      </c>
      <c r="H26" s="98">
        <f>+'X. Evaluacion Social'!N26</f>
        <v>298176511.732349</v>
      </c>
      <c r="I26" s="98">
        <f>+'X. Evaluacion Social'!O26</f>
        <v>126455948.480305</v>
      </c>
      <c r="K26" s="108"/>
    </row>
    <row r="27" s="80" customFormat="1" ht="12.75" spans="1:11">
      <c r="A27" s="96">
        <f t="shared" si="0"/>
        <v>10</v>
      </c>
      <c r="B27" s="96">
        <f t="shared" si="0"/>
        <v>2034</v>
      </c>
      <c r="C27" s="97">
        <f>+'X. Evaluacion Social'!I27</f>
        <v>495875446.480968</v>
      </c>
      <c r="D27" s="98">
        <f>+'[2]X. Evaluacion Social'!J28</f>
        <v>0</v>
      </c>
      <c r="E27" s="98">
        <f>+'X. Evaluacion Social'!K27</f>
        <v>155849167.625858</v>
      </c>
      <c r="F27" s="98">
        <f>+'X. Evaluacion Social'!L27</f>
        <v>125491485</v>
      </c>
      <c r="G27" s="99">
        <f>+'X. Evaluacion Social'!M27</f>
        <v>281340652.625858</v>
      </c>
      <c r="H27" s="98">
        <f>+'X. Evaluacion Social'!N27</f>
        <v>214534793.85511</v>
      </c>
      <c r="I27" s="98">
        <f>+'X. Evaluacion Social'!O27</f>
        <v>82712450.1199856</v>
      </c>
      <c r="K27" s="108"/>
    </row>
    <row r="28" s="80" customFormat="1" ht="12.75" spans="1:11">
      <c r="A28" s="96">
        <f t="shared" si="0"/>
        <v>11</v>
      </c>
      <c r="B28" s="96">
        <f t="shared" si="0"/>
        <v>2035</v>
      </c>
      <c r="C28" s="97">
        <f>+'X. Evaluacion Social'!I28</f>
        <v>505838550.026621</v>
      </c>
      <c r="D28" s="98">
        <f>+'[2]X. Evaluacion Social'!J29</f>
        <v>0</v>
      </c>
      <c r="E28" s="98">
        <f>+'X. Evaluacion Social'!K28</f>
        <v>156424449.904353</v>
      </c>
      <c r="F28" s="98">
        <f>+'X. Evaluacion Social'!L28</f>
        <v>0</v>
      </c>
      <c r="G28" s="99">
        <f>+'X. Evaluacion Social'!M28</f>
        <v>156424449.904353</v>
      </c>
      <c r="H28" s="98">
        <f>+'X. Evaluacion Social'!N28</f>
        <v>349414100.122269</v>
      </c>
      <c r="I28" s="98">
        <f>+'X. Evaluacion Social'!O28</f>
        <v>122467510.485636</v>
      </c>
      <c r="K28" s="108"/>
    </row>
    <row r="29" s="80" customFormat="1" ht="12.75" spans="1:11">
      <c r="A29" s="96">
        <f t="shared" si="0"/>
        <v>12</v>
      </c>
      <c r="B29" s="96">
        <f t="shared" si="0"/>
        <v>2036</v>
      </c>
      <c r="C29" s="97">
        <f>+'X. Evaluacion Social'!I29</f>
        <v>515724412.158165</v>
      </c>
      <c r="D29" s="98">
        <f>+'[2]X. Evaluacion Social'!J30</f>
        <v>0</v>
      </c>
      <c r="E29" s="98">
        <f>+'X. Evaluacion Social'!K29</f>
        <v>156990349.622935</v>
      </c>
      <c r="F29" s="98">
        <f>+'X. Evaluacion Social'!L29</f>
        <v>0</v>
      </c>
      <c r="G29" s="99">
        <f>+'X. Evaluacion Social'!M29</f>
        <v>156990349.622935</v>
      </c>
      <c r="H29" s="98">
        <f>+'X. Evaluacion Social'!N29</f>
        <v>358734062.53523</v>
      </c>
      <c r="I29" s="98">
        <f>+'X. Evaluacion Social'!O29</f>
        <v>114303727.686159</v>
      </c>
      <c r="K29" s="108"/>
    </row>
    <row r="30" s="80" customFormat="1" ht="12.75" spans="1:11">
      <c r="A30" s="96">
        <f t="shared" si="0"/>
        <v>13</v>
      </c>
      <c r="B30" s="96">
        <f t="shared" si="0"/>
        <v>2037</v>
      </c>
      <c r="C30" s="97">
        <f>+'X. Evaluacion Social'!I30</f>
        <v>525532279.255795</v>
      </c>
      <c r="D30" s="98">
        <f>+'[2]X. Evaluacion Social'!J31</f>
        <v>0</v>
      </c>
      <c r="E30" s="98">
        <f>+'X. Evaluacion Social'!K30</f>
        <v>157544258.429948</v>
      </c>
      <c r="F30" s="98">
        <f>+'X. Evaluacion Social'!L30</f>
        <v>49394500</v>
      </c>
      <c r="G30" s="99">
        <f>+'X. Evaluacion Social'!M30</f>
        <v>206938758.429948</v>
      </c>
      <c r="H30" s="98">
        <f>+'X. Evaluacion Social'!N30</f>
        <v>318593520.825847</v>
      </c>
      <c r="I30" s="98">
        <f>+'X. Evaluacion Social'!O30</f>
        <v>92285194.5981464</v>
      </c>
      <c r="K30" s="108"/>
    </row>
    <row r="31" s="80" customFormat="1" ht="12.75" spans="1:11">
      <c r="A31" s="96">
        <f t="shared" si="0"/>
        <v>14</v>
      </c>
      <c r="B31" s="96">
        <f t="shared" si="0"/>
        <v>2038</v>
      </c>
      <c r="C31" s="97">
        <f>+'X. Evaluacion Social'!I31</f>
        <v>535244343.213956</v>
      </c>
      <c r="D31" s="98">
        <f>+'[2]X. Evaluacion Social'!J32</f>
        <v>0</v>
      </c>
      <c r="E31" s="98">
        <f>+'X. Evaluacion Social'!K31</f>
        <v>158079965.07073</v>
      </c>
      <c r="F31" s="98">
        <f>+'X. Evaluacion Social'!L31</f>
        <v>0</v>
      </c>
      <c r="G31" s="99">
        <f>+'X. Evaluacion Social'!M31</f>
        <v>158079965.07073</v>
      </c>
      <c r="H31" s="98">
        <f>+'X. Evaluacion Social'!N31</f>
        <v>377164378.143225</v>
      </c>
      <c r="I31" s="98">
        <f>+'X. Evaluacion Social'!O31</f>
        <v>99319168.7760281</v>
      </c>
      <c r="K31" s="108"/>
    </row>
    <row r="32" s="80" customFormat="1" ht="12.75" spans="1:11">
      <c r="A32" s="96">
        <f t="shared" si="0"/>
        <v>15</v>
      </c>
      <c r="B32" s="96">
        <f t="shared" si="0"/>
        <v>2039</v>
      </c>
      <c r="C32" s="97">
        <f>+'X. Evaluacion Social'!I32</f>
        <v>544833787.549815</v>
      </c>
      <c r="D32" s="98">
        <f>+'[2]X. Evaluacion Social'!J33</f>
        <v>0</v>
      </c>
      <c r="E32" s="98">
        <f>+'X. Evaluacion Social'!K32</f>
        <v>158589381.778637</v>
      </c>
      <c r="F32" s="98">
        <f>+'X. Evaluacion Social'!L32</f>
        <v>0</v>
      </c>
      <c r="G32" s="99">
        <f>+'X. Evaluacion Social'!M32</f>
        <v>158589381.778637</v>
      </c>
      <c r="H32" s="98">
        <f>+'X. Evaluacion Social'!N32</f>
        <v>386244405.771178</v>
      </c>
      <c r="I32" s="98">
        <f>+'X. Evaluacion Social'!O32</f>
        <v>92463839.8549371</v>
      </c>
      <c r="K32" s="108"/>
    </row>
    <row r="33" s="80" customFormat="1" ht="12.75" spans="1:12">
      <c r="A33" s="96">
        <f t="shared" si="0"/>
        <v>16</v>
      </c>
      <c r="B33" s="96">
        <f t="shared" si="0"/>
        <v>2040</v>
      </c>
      <c r="C33" s="97">
        <f>+'X. Evaluacion Social'!I33</f>
        <v>554273164.789722</v>
      </c>
      <c r="D33" s="98">
        <f>+'[2]X. Evaluacion Social'!J34</f>
        <v>0</v>
      </c>
      <c r="E33" s="98">
        <f>+'X. Evaluacion Social'!K33</f>
        <v>159064364.491664</v>
      </c>
      <c r="F33" s="98">
        <f>+'X. Evaluacion Social'!L33</f>
        <v>1750000</v>
      </c>
      <c r="G33" s="99">
        <f>+'X. Evaluacion Social'!M33</f>
        <v>160814364.491664</v>
      </c>
      <c r="H33" s="98">
        <f>+'X. Evaluacion Social'!N33</f>
        <v>393458800.298059</v>
      </c>
      <c r="I33" s="98">
        <f>+'X. Evaluacion Social'!O33</f>
        <v>85628098.6778951</v>
      </c>
      <c r="K33" s="108"/>
      <c r="L33" s="86"/>
    </row>
    <row r="34" s="80" customFormat="1" ht="12.75" spans="1:12">
      <c r="A34" s="96">
        <f t="shared" ref="A34:B49" si="1">A33+1</f>
        <v>17</v>
      </c>
      <c r="B34" s="96">
        <f t="shared" si="1"/>
        <v>2041</v>
      </c>
      <c r="C34" s="97">
        <f>+'X. Evaluacion Social'!I34</f>
        <v>563540716.241678</v>
      </c>
      <c r="D34" s="98">
        <f>+'[2]X. Evaluacion Social'!J35</f>
        <v>0</v>
      </c>
      <c r="E34" s="98">
        <f>+'X. Evaluacion Social'!K34</f>
        <v>159497876.289876</v>
      </c>
      <c r="F34" s="98">
        <f>+'X. Evaluacion Social'!L34</f>
        <v>227685146</v>
      </c>
      <c r="G34" s="99">
        <f>+'X. Evaluacion Social'!M34</f>
        <v>387183022.289876</v>
      </c>
      <c r="H34" s="98">
        <f>+'X. Evaluacion Social'!N34</f>
        <v>176357693.951802</v>
      </c>
      <c r="I34" s="98">
        <f>+'X. Evaluacion Social'!O34</f>
        <v>34891429.5678857</v>
      </c>
      <c r="K34" s="108"/>
      <c r="L34" s="86"/>
    </row>
    <row r="35" s="80" customFormat="1" ht="12.75" spans="1:12">
      <c r="A35" s="96">
        <f t="shared" si="1"/>
        <v>18</v>
      </c>
      <c r="B35" s="96">
        <f t="shared" si="1"/>
        <v>2042</v>
      </c>
      <c r="C35" s="97">
        <f>+'X. Evaluacion Social'!I35</f>
        <v>572635663.683738</v>
      </c>
      <c r="D35" s="98">
        <f>+'[2]X. Evaluacion Social'!J36</f>
        <v>0</v>
      </c>
      <c r="E35" s="98">
        <f>+'X. Evaluacion Social'!K35</f>
        <v>159887665.358894</v>
      </c>
      <c r="F35" s="98">
        <f>+'X. Evaluacion Social'!L35</f>
        <v>15750000</v>
      </c>
      <c r="G35" s="99">
        <f>+'X. Evaluacion Social'!M35</f>
        <v>175637665.358894</v>
      </c>
      <c r="H35" s="98">
        <f>+'X. Evaluacion Social'!N35</f>
        <v>396997998.324844</v>
      </c>
      <c r="I35" s="98">
        <f>+'X. Evaluacion Social'!O35</f>
        <v>71403579.5750866</v>
      </c>
      <c r="K35" s="108"/>
      <c r="L35" s="86"/>
    </row>
    <row r="36" s="80" customFormat="1" ht="12.75" spans="1:12">
      <c r="A36" s="96">
        <f t="shared" si="1"/>
        <v>19</v>
      </c>
      <c r="B36" s="96">
        <f t="shared" si="1"/>
        <v>2043</v>
      </c>
      <c r="C36" s="97">
        <f>+'X. Evaluacion Social'!I36</f>
        <v>581566101.06855</v>
      </c>
      <c r="D36" s="98">
        <f>+'[2]X. Evaluacion Social'!J37</f>
        <v>0</v>
      </c>
      <c r="E36" s="98">
        <f>+'X. Evaluacion Social'!K36</f>
        <v>160233562.81264</v>
      </c>
      <c r="F36" s="98">
        <f>+'X. Evaluacion Social'!L36</f>
        <v>0</v>
      </c>
      <c r="G36" s="99">
        <f>+'X. Evaluacion Social'!M36</f>
        <v>160233562.81264</v>
      </c>
      <c r="H36" s="98">
        <f>+'X. Evaluacion Social'!N36</f>
        <v>421332538.25591</v>
      </c>
      <c r="I36" s="98">
        <f>+'X. Evaluacion Social'!O36</f>
        <v>68891236.8000776</v>
      </c>
      <c r="K36" s="108"/>
      <c r="L36" s="86"/>
    </row>
    <row r="37" s="80" customFormat="1" ht="12.75" spans="1:12">
      <c r="A37" s="96">
        <f t="shared" si="1"/>
        <v>20</v>
      </c>
      <c r="B37" s="96">
        <f t="shared" si="1"/>
        <v>2044</v>
      </c>
      <c r="C37" s="97">
        <f>+'X. Evaluacion Social'!I37</f>
        <v>590357955.510108</v>
      </c>
      <c r="D37" s="98">
        <f>+'[2]X. Evaluacion Social'!J38</f>
        <v>0</v>
      </c>
      <c r="E37" s="98">
        <f>+'X. Evaluacion Social'!K37</f>
        <v>160539490.561157</v>
      </c>
      <c r="F37" s="98">
        <f>+'X. Evaluacion Social'!L37</f>
        <v>0</v>
      </c>
      <c r="G37" s="99">
        <f>+'X. Evaluacion Social'!M37</f>
        <v>160539490.561157</v>
      </c>
      <c r="H37" s="98">
        <f>+'X. Evaluacion Social'!N37</f>
        <v>429818464.948951</v>
      </c>
      <c r="I37" s="98">
        <f>+'X. Evaluacion Social'!O37</f>
        <v>63889776.0217803</v>
      </c>
      <c r="K37" s="108"/>
      <c r="L37" s="86"/>
    </row>
    <row r="38" s="80" customFormat="1" ht="12.75" spans="1:12">
      <c r="A38" s="96">
        <f t="shared" si="1"/>
        <v>21</v>
      </c>
      <c r="B38" s="96">
        <f t="shared" si="1"/>
        <v>2045</v>
      </c>
      <c r="C38" s="97">
        <f>+'X. Evaluacion Social'!I38</f>
        <v>599034507.451039</v>
      </c>
      <c r="D38" s="98">
        <f>+'[2]X. Evaluacion Social'!J39</f>
        <v>0</v>
      </c>
      <c r="E38" s="98">
        <f>+'X. Evaluacion Social'!K38</f>
        <v>160808957.681853</v>
      </c>
      <c r="F38" s="98">
        <f>+'X. Evaluacion Social'!L38</f>
        <v>0</v>
      </c>
      <c r="G38" s="99">
        <f>+'X. Evaluacion Social'!M38</f>
        <v>160808957.681853</v>
      </c>
      <c r="H38" s="98">
        <f>+'X. Evaluacion Social'!N38</f>
        <v>438225549.769186</v>
      </c>
      <c r="I38" s="98">
        <f>+'X. Evaluacion Social'!O38</f>
        <v>59217668.7368788</v>
      </c>
      <c r="K38" s="108"/>
      <c r="L38" s="86"/>
    </row>
    <row r="39" s="80" customFormat="1" ht="12.75" spans="1:12">
      <c r="A39" s="96">
        <f t="shared" si="1"/>
        <v>22</v>
      </c>
      <c r="B39" s="96">
        <f t="shared" si="1"/>
        <v>2046</v>
      </c>
      <c r="C39" s="97">
        <f>+'X. Evaluacion Social'!I39</f>
        <v>607634269.353575</v>
      </c>
      <c r="D39" s="98">
        <f>+'[2]X. Evaluacion Social'!J40</f>
        <v>0</v>
      </c>
      <c r="E39" s="98">
        <f>+'X. Evaluacion Social'!K39</f>
        <v>161047255.938519</v>
      </c>
      <c r="F39" s="98">
        <f>+'X. Evaluacion Social'!L39</f>
        <v>188740447</v>
      </c>
      <c r="G39" s="99">
        <f>+'X. Evaluacion Social'!M39</f>
        <v>349787702.938519</v>
      </c>
      <c r="H39" s="98">
        <f>+'X. Evaluacion Social'!N39</f>
        <v>257846566.415055</v>
      </c>
      <c r="I39" s="98">
        <f>+'X. Evaluacion Social'!O39</f>
        <v>31675412.483886</v>
      </c>
      <c r="K39" s="108"/>
      <c r="L39" s="86"/>
    </row>
    <row r="40" s="80" customFormat="1" ht="12.75" spans="1:12">
      <c r="A40" s="96">
        <f t="shared" si="1"/>
        <v>23</v>
      </c>
      <c r="B40" s="96">
        <f t="shared" si="1"/>
        <v>2047</v>
      </c>
      <c r="C40" s="97">
        <f>+'X. Evaluacion Social'!I40</f>
        <v>616192333.871185</v>
      </c>
      <c r="D40" s="98">
        <f>+'[2]X. Evaluacion Social'!J41</f>
        <v>0</v>
      </c>
      <c r="E40" s="98">
        <f>+'X. Evaluacion Social'!K40</f>
        <v>161259583.269346</v>
      </c>
      <c r="F40" s="98">
        <f>+'X. Evaluacion Social'!L40</f>
        <v>49394500</v>
      </c>
      <c r="G40" s="99">
        <f>+'X. Evaluacion Social'!M40</f>
        <v>210654083.269346</v>
      </c>
      <c r="H40" s="98">
        <f>+'X. Evaluacion Social'!N40</f>
        <v>405538250.601838</v>
      </c>
      <c r="I40" s="98">
        <f>+'X. Evaluacion Social'!O40</f>
        <v>45289764.7423152</v>
      </c>
      <c r="K40" s="108"/>
      <c r="L40" s="86"/>
    </row>
    <row r="41" s="80" customFormat="1" ht="12.75" spans="1:12">
      <c r="A41" s="96">
        <f t="shared" si="1"/>
        <v>24</v>
      </c>
      <c r="B41" s="96">
        <f t="shared" si="1"/>
        <v>2048</v>
      </c>
      <c r="C41" s="97">
        <f>+'X. Evaluacion Social'!I41</f>
        <v>624740909.459122</v>
      </c>
      <c r="D41" s="98">
        <f>+'[2]X. Evaluacion Social'!J42</f>
        <v>0</v>
      </c>
      <c r="E41" s="98">
        <f>+'X. Evaluacion Social'!K41</f>
        <v>161450649.719411</v>
      </c>
      <c r="F41" s="98">
        <f>+'X. Evaluacion Social'!L41</f>
        <v>1750000</v>
      </c>
      <c r="G41" s="99">
        <f>+'X. Evaluacion Social'!M41</f>
        <v>163200649.719411</v>
      </c>
      <c r="H41" s="98">
        <f>+'X. Evaluacion Social'!N41</f>
        <v>461540259.739711</v>
      </c>
      <c r="I41" s="98">
        <f>+'X. Evaluacion Social'!O41</f>
        <v>46858150.8687359</v>
      </c>
      <c r="K41" s="108"/>
      <c r="L41" s="86"/>
    </row>
    <row r="42" s="80" customFormat="1" ht="12.75" spans="1:12">
      <c r="A42" s="96">
        <f t="shared" si="1"/>
        <v>25</v>
      </c>
      <c r="B42" s="96">
        <f t="shared" si="1"/>
        <v>2049</v>
      </c>
      <c r="C42" s="97">
        <f>+'X. Evaluacion Social'!I42</f>
        <v>633305253.468757</v>
      </c>
      <c r="D42" s="98">
        <f>+'[2]X. Evaluacion Social'!J43</f>
        <v>0</v>
      </c>
      <c r="E42" s="98">
        <f>+'X. Evaluacion Social'!K42</f>
        <v>161623757.949803</v>
      </c>
      <c r="F42" s="98">
        <f>+'X. Evaluacion Social'!L42</f>
        <v>0</v>
      </c>
      <c r="G42" s="99">
        <f>+'X. Evaluacion Social'!M42</f>
        <v>161623757.949803</v>
      </c>
      <c r="H42" s="98">
        <f>+'X. Evaluacion Social'!N42</f>
        <v>471681495.518954</v>
      </c>
      <c r="I42" s="98">
        <f>+'X. Evaluacion Social'!O42</f>
        <v>43534314.4505723</v>
      </c>
      <c r="K42" s="108"/>
      <c r="L42" s="86"/>
    </row>
    <row r="43" s="80" customFormat="1" ht="12.75" spans="1:12">
      <c r="A43" s="96">
        <f t="shared" si="1"/>
        <v>26</v>
      </c>
      <c r="B43" s="96">
        <f t="shared" si="1"/>
        <v>2050</v>
      </c>
      <c r="C43" s="97">
        <f>+'X. Evaluacion Social'!I43</f>
        <v>641904556.28487</v>
      </c>
      <c r="D43" s="98">
        <f>+'[2]X. Evaluacion Social'!J44</f>
        <v>0</v>
      </c>
      <c r="E43" s="98">
        <f>+'X. Evaluacion Social'!K43</f>
        <v>161780972.123702</v>
      </c>
      <c r="F43" s="98">
        <f>+'X. Evaluacion Social'!L43</f>
        <v>14000000</v>
      </c>
      <c r="G43" s="99">
        <f>+'X. Evaluacion Social'!M43</f>
        <v>175780972.123702</v>
      </c>
      <c r="H43" s="98">
        <f>+'X. Evaluacion Social'!N43</f>
        <v>466123584.161168</v>
      </c>
      <c r="I43" s="98">
        <f>+'X. Evaluacion Social'!O43</f>
        <v>39110310.4309325</v>
      </c>
      <c r="K43" s="108"/>
      <c r="L43" s="86"/>
    </row>
    <row r="44" s="80" customFormat="1" ht="12.75" spans="1:12">
      <c r="A44" s="96">
        <f t="shared" si="1"/>
        <v>27</v>
      </c>
      <c r="B44" s="96">
        <f t="shared" si="1"/>
        <v>2051</v>
      </c>
      <c r="C44" s="97">
        <f>+'X. Evaluacion Social'!I44</f>
        <v>650547509.35896</v>
      </c>
      <c r="D44" s="98">
        <f>+'[2]X. Evaluacion Social'!J45</f>
        <v>0</v>
      </c>
      <c r="E44" s="98">
        <f>+'X. Evaluacion Social'!K44</f>
        <v>161922104.589911</v>
      </c>
      <c r="F44" s="98">
        <f>+'X. Evaluacion Social'!L44</f>
        <v>0</v>
      </c>
      <c r="G44" s="99">
        <f>+'X. Evaluacion Social'!M44</f>
        <v>161922104.589911</v>
      </c>
      <c r="H44" s="98">
        <f>+'X. Evaluacion Social'!N44</f>
        <v>488625404.76905</v>
      </c>
      <c r="I44" s="98">
        <f>+'X. Evaluacion Social'!O44</f>
        <v>37271214.4362243</v>
      </c>
      <c r="K44" s="108"/>
      <c r="L44" s="86"/>
    </row>
    <row r="45" s="80" customFormat="1" ht="12.75" spans="1:12">
      <c r="A45" s="96">
        <f t="shared" si="1"/>
        <v>28</v>
      </c>
      <c r="B45" s="96">
        <f t="shared" si="1"/>
        <v>2052</v>
      </c>
      <c r="C45" s="97">
        <f>+'X. Evaluacion Social'!I45</f>
        <v>659237042.833889</v>
      </c>
      <c r="D45" s="98">
        <f>+'[2]X. Evaluacion Social'!J46</f>
        <v>0</v>
      </c>
      <c r="E45" s="98">
        <f>+'X. Evaluacion Social'!K45</f>
        <v>162045729.199322</v>
      </c>
      <c r="F45" s="98">
        <f>+'X. Evaluacion Social'!L45</f>
        <v>1750000</v>
      </c>
      <c r="G45" s="99">
        <f>+'X. Evaluacion Social'!M45</f>
        <v>163795729.199322</v>
      </c>
      <c r="H45" s="98">
        <f>+'X. Evaluacion Social'!N45</f>
        <v>495441313.634568</v>
      </c>
      <c r="I45" s="98">
        <f>+'X. Evaluacion Social'!O45</f>
        <v>34355560.165333</v>
      </c>
      <c r="K45" s="108"/>
      <c r="L45" s="86"/>
    </row>
    <row r="46" s="80" customFormat="1" ht="12.75" spans="1:12">
      <c r="A46" s="96">
        <f t="shared" si="1"/>
        <v>29</v>
      </c>
      <c r="B46" s="96">
        <f t="shared" si="1"/>
        <v>2053</v>
      </c>
      <c r="C46" s="97">
        <f>+'X. Evaluacion Social'!I46</f>
        <v>667964559.291227</v>
      </c>
      <c r="D46" s="98">
        <f>+'[2]X. Evaluacion Social'!J47</f>
        <v>0</v>
      </c>
      <c r="E46" s="98">
        <f>+'X. Evaluacion Social'!K46</f>
        <v>162147867.746533</v>
      </c>
      <c r="F46" s="98">
        <f>+'X. Evaluacion Social'!L46</f>
        <v>0</v>
      </c>
      <c r="G46" s="99">
        <f>+'X. Evaluacion Social'!M46</f>
        <v>162147867.746533</v>
      </c>
      <c r="H46" s="98">
        <f>+'X. Evaluacion Social'!N46</f>
        <v>505816691.544694</v>
      </c>
      <c r="I46" s="98">
        <f>+'X. Evaluacion Social'!O46</f>
        <v>31886385.1108105</v>
      </c>
      <c r="K46" s="108"/>
      <c r="L46" s="86"/>
    </row>
    <row r="47" s="80" customFormat="1" ht="12.75" spans="1:12">
      <c r="A47" s="96">
        <f t="shared" si="1"/>
        <v>30</v>
      </c>
      <c r="B47" s="96">
        <f t="shared" si="1"/>
        <v>2054</v>
      </c>
      <c r="C47" s="97">
        <f>+'X. Evaluacion Social'!I47</f>
        <v>676716300.087661</v>
      </c>
      <c r="D47" s="98">
        <f>+'[2]X. Evaluacion Social'!J48</f>
        <v>0</v>
      </c>
      <c r="E47" s="98">
        <f>+'X. Evaluacion Social'!K47</f>
        <v>162223359.823591</v>
      </c>
      <c r="F47" s="98">
        <f>+'X. Evaluacion Social'!L47</f>
        <v>163247831</v>
      </c>
      <c r="G47" s="99">
        <f>+'X. Evaluacion Social'!M47</f>
        <v>325471190.823591</v>
      </c>
      <c r="H47" s="98">
        <f>+'X. Evaluacion Social'!N47</f>
        <v>351245109.26407</v>
      </c>
      <c r="I47" s="98">
        <f>+'X. Evaluacion Social'!O47</f>
        <v>20129349.0660345</v>
      </c>
      <c r="K47" s="108"/>
      <c r="L47" s="86"/>
    </row>
    <row r="48" s="80" customFormat="1" ht="12.75" spans="1:12">
      <c r="A48" s="96">
        <f t="shared" si="1"/>
        <v>31</v>
      </c>
      <c r="B48" s="96">
        <f t="shared" si="1"/>
        <v>2055</v>
      </c>
      <c r="C48" s="97">
        <f>+'X. Evaluacion Social'!I48</f>
        <v>685480956.600357</v>
      </c>
      <c r="D48" s="98">
        <f>+'[2]X. Evaluacion Social'!J49</f>
        <v>0</v>
      </c>
      <c r="E48" s="98">
        <f>+'X. Evaluacion Social'!K48</f>
        <v>162267532.915661</v>
      </c>
      <c r="F48" s="98">
        <f>+'X. Evaluacion Social'!L48</f>
        <v>0</v>
      </c>
      <c r="G48" s="99">
        <f>+'X. Evaluacion Social'!M48</f>
        <v>162267532.915661</v>
      </c>
      <c r="H48" s="98">
        <f>+'X. Evaluacion Social'!N48</f>
        <v>523213423.684696</v>
      </c>
      <c r="I48" s="98">
        <f>+'X. Evaluacion Social'!O48</f>
        <v>27258731.2537463</v>
      </c>
      <c r="K48" s="108"/>
      <c r="L48" s="86"/>
    </row>
    <row r="49" s="80" customFormat="1" ht="12.75" spans="1:12">
      <c r="A49" s="96">
        <f t="shared" si="1"/>
        <v>32</v>
      </c>
      <c r="B49" s="96">
        <f t="shared" si="1"/>
        <v>2056</v>
      </c>
      <c r="C49" s="97">
        <f>+'X. Evaluacion Social'!I49</f>
        <v>694256309.146959</v>
      </c>
      <c r="D49" s="98">
        <f>+'[2]X. Evaluacion Social'!J50</f>
        <v>0</v>
      </c>
      <c r="E49" s="98">
        <f>+'X. Evaluacion Social'!K49</f>
        <v>162277684.845487</v>
      </c>
      <c r="F49" s="98">
        <f>+'X. Evaluacion Social'!L49</f>
        <v>1750000</v>
      </c>
      <c r="G49" s="99">
        <f>+'X. Evaluacion Social'!M49</f>
        <v>164027684.845487</v>
      </c>
      <c r="H49" s="98">
        <f>+'X. Evaluacion Social'!N49</f>
        <v>530228624.301473</v>
      </c>
      <c r="I49" s="98">
        <f>+'X. Evaluacion Social'!O49</f>
        <v>25112921.7996578</v>
      </c>
      <c r="K49" s="108"/>
      <c r="L49" s="86"/>
    </row>
    <row r="50" s="80" customFormat="1" ht="12.75" spans="1:12">
      <c r="A50" s="96">
        <f t="shared" ref="A50:B56" si="2">A49+1</f>
        <v>33</v>
      </c>
      <c r="B50" s="96">
        <f t="shared" si="2"/>
        <v>2057</v>
      </c>
      <c r="C50" s="97">
        <f>+'X. Evaluacion Social'!I50</f>
        <v>703045663.468489</v>
      </c>
      <c r="D50" s="98">
        <f>+'[2]X. Evaluacion Social'!J51</f>
        <v>0</v>
      </c>
      <c r="E50" s="98">
        <f>+'X. Evaluacion Social'!K50</f>
        <v>162252314.403482</v>
      </c>
      <c r="F50" s="98">
        <f>+'X. Evaluacion Social'!L50</f>
        <v>49394500</v>
      </c>
      <c r="G50" s="99">
        <f>+'X. Evaluacion Social'!M50</f>
        <v>211646814.403482</v>
      </c>
      <c r="H50" s="98">
        <f>+'X. Evaluacion Social'!N50</f>
        <v>491398849.065006</v>
      </c>
      <c r="I50" s="98">
        <f>+'X. Evaluacion Social'!O50</f>
        <v>21158044.42808</v>
      </c>
      <c r="K50" s="108"/>
      <c r="L50" s="86"/>
    </row>
    <row r="51" s="80" customFormat="1" ht="12.75" spans="1:12">
      <c r="A51" s="96">
        <f t="shared" si="2"/>
        <v>34</v>
      </c>
      <c r="B51" s="96">
        <f t="shared" si="2"/>
        <v>2058</v>
      </c>
      <c r="C51" s="97">
        <f>+'X. Evaluacion Social'!I51</f>
        <v>711863071.381862</v>
      </c>
      <c r="D51" s="98">
        <f>+'[2]X. Evaluacion Social'!J52</f>
        <v>0</v>
      </c>
      <c r="E51" s="98">
        <f>+'X. Evaluacion Social'!K51</f>
        <v>162192303.55028</v>
      </c>
      <c r="F51" s="98">
        <f>+'X. Evaluacion Social'!L51</f>
        <v>14000000</v>
      </c>
      <c r="G51" s="99">
        <f>+'X. Evaluacion Social'!M51</f>
        <v>176192303.55028</v>
      </c>
      <c r="H51" s="98">
        <f>+'X. Evaluacion Social'!N51</f>
        <v>535670767.831582</v>
      </c>
      <c r="I51" s="98">
        <f>+'X. Evaluacion Social'!O51</f>
        <v>20967500.000105</v>
      </c>
      <c r="K51" s="108"/>
      <c r="L51" s="86"/>
    </row>
    <row r="52" s="80" customFormat="1" ht="12.75" spans="1:12">
      <c r="A52" s="96">
        <f t="shared" si="2"/>
        <v>35</v>
      </c>
      <c r="B52" s="96">
        <f t="shared" si="2"/>
        <v>2059</v>
      </c>
      <c r="C52" s="97">
        <f>+'X. Evaluacion Social'!I52</f>
        <v>720729467.048287</v>
      </c>
      <c r="D52" s="98">
        <f>+'[2]X. Evaluacion Social'!J53</f>
        <v>0</v>
      </c>
      <c r="E52" s="98">
        <f>+'X. Evaluacion Social'!K52</f>
        <v>162100091.751457</v>
      </c>
      <c r="F52" s="98">
        <f>+'X. Evaluacion Social'!L52</f>
        <v>0</v>
      </c>
      <c r="G52" s="99">
        <f>+'X. Evaluacion Social'!M52</f>
        <v>162100091.751457</v>
      </c>
      <c r="H52" s="98">
        <f>+'X. Evaluacion Social'!N52</f>
        <v>558629375.29683</v>
      </c>
      <c r="I52" s="98">
        <f>+'X. Evaluacion Social'!O52</f>
        <v>19878325.0832323</v>
      </c>
      <c r="K52" s="108"/>
      <c r="L52" s="86"/>
    </row>
    <row r="53" s="80" customFormat="1" ht="12.75" spans="1:12">
      <c r="A53" s="96">
        <f t="shared" si="2"/>
        <v>36</v>
      </c>
      <c r="B53" s="96">
        <f t="shared" si="2"/>
        <v>2060</v>
      </c>
      <c r="C53" s="97">
        <f>+'X. Evaluacion Social'!I53</f>
        <v>729670792.682198</v>
      </c>
      <c r="D53" s="98">
        <f>+'[2]X. Evaluacion Social'!J54</f>
        <v>0</v>
      </c>
      <c r="E53" s="98">
        <f>+'X. Evaluacion Social'!K53</f>
        <v>161979281.910019</v>
      </c>
      <c r="F53" s="98">
        <f>+'X. Evaluacion Social'!L53</f>
        <v>0</v>
      </c>
      <c r="G53" s="99">
        <f>+'X. Evaluacion Social'!M53</f>
        <v>161979281.910019</v>
      </c>
      <c r="H53" s="98">
        <f>+'X. Evaluacion Social'!N53</f>
        <v>567691510.772178</v>
      </c>
      <c r="I53" s="98">
        <f>+'X. Evaluacion Social'!O53</f>
        <v>18364357.3118329</v>
      </c>
      <c r="K53" s="108"/>
      <c r="L53" s="86"/>
    </row>
    <row r="54" s="80" customFormat="1" ht="12.75" spans="1:12">
      <c r="A54" s="96">
        <f t="shared" si="2"/>
        <v>37</v>
      </c>
      <c r="B54" s="96">
        <f t="shared" si="2"/>
        <v>2061</v>
      </c>
      <c r="C54" s="97">
        <f>+'X. Evaluacion Social'!I54</f>
        <v>738710454.487684</v>
      </c>
      <c r="D54" s="98">
        <f>+'[2]X. Evaluacion Social'!J55</f>
        <v>0</v>
      </c>
      <c r="E54" s="98">
        <f>+'X. Evaluacion Social'!K54</f>
        <v>161832970.270739</v>
      </c>
      <c r="F54" s="98">
        <f>+'X. Evaluacion Social'!L54</f>
        <v>0</v>
      </c>
      <c r="G54" s="99">
        <f>+'X. Evaluacion Social'!M54</f>
        <v>161832970.270739</v>
      </c>
      <c r="H54" s="98">
        <f>+'X. Evaluacion Social'!N54</f>
        <v>576877484.216945</v>
      </c>
      <c r="I54" s="98">
        <f>+'X. Evaluacion Social'!O54</f>
        <v>16965014.5998567</v>
      </c>
      <c r="K54" s="108"/>
      <c r="L54" s="86"/>
    </row>
    <row r="55" s="80" customFormat="1" ht="12.75" spans="1:12">
      <c r="A55" s="96">
        <f t="shared" si="2"/>
        <v>38</v>
      </c>
      <c r="B55" s="96">
        <f t="shared" si="2"/>
        <v>2062</v>
      </c>
      <c r="C55" s="97">
        <f>+'X. Evaluacion Social'!I55</f>
        <v>747874234.92687</v>
      </c>
      <c r="D55" s="98">
        <f>+'[2]X. Evaluacion Social'!J56</f>
        <v>0</v>
      </c>
      <c r="E55" s="98">
        <f>+'X. Evaluacion Social'!K55</f>
        <v>161664834.797101</v>
      </c>
      <c r="F55" s="98">
        <f>+'X. Evaluacion Social'!L55</f>
        <v>1750000</v>
      </c>
      <c r="G55" s="99">
        <f>+'X. Evaluacion Social'!M55</f>
        <v>163414834.797101</v>
      </c>
      <c r="H55" s="98">
        <f>+'X. Evaluacion Social'!N55</f>
        <v>584459400.129769</v>
      </c>
      <c r="I55" s="98">
        <f>+'X. Evaluacion Social'!O55</f>
        <v>15625442.0290175</v>
      </c>
      <c r="K55" s="108"/>
      <c r="L55" s="86"/>
    </row>
    <row r="56" s="80" customFormat="1" ht="12.75" spans="1:12">
      <c r="A56" s="96">
        <f t="shared" si="2"/>
        <v>39</v>
      </c>
      <c r="B56" s="96">
        <f t="shared" si="2"/>
        <v>2063</v>
      </c>
      <c r="C56" s="97">
        <f>+'X. Evaluacion Social'!I56</f>
        <v>757189160.348819</v>
      </c>
      <c r="D56" s="98">
        <f>+'[2]X. Evaluacion Social'!J57</f>
        <v>0</v>
      </c>
      <c r="E56" s="98">
        <f>+'X. Evaluacion Social'!K56</f>
        <v>161478891.224749</v>
      </c>
      <c r="F56" s="98">
        <f>+'X. Evaluacion Social'!L56</f>
        <v>0</v>
      </c>
      <c r="G56" s="99">
        <f>+'X. Evaluacion Social'!M56</f>
        <v>161478891.224749</v>
      </c>
      <c r="H56" s="98">
        <f>+'X. Evaluacion Social'!N56</f>
        <v>595710269.12407</v>
      </c>
      <c r="I56" s="98">
        <f>+'X. Evaluacion Social'!O56</f>
        <v>14478393.1553933</v>
      </c>
      <c r="K56" s="108"/>
      <c r="L56" s="86"/>
    </row>
    <row r="57" s="80" customFormat="1" ht="12.75" spans="1:12">
      <c r="A57" s="101"/>
      <c r="B57" s="101"/>
      <c r="C57" s="102"/>
      <c r="D57" s="103">
        <f>SUM(D17:D56)</f>
        <v>1220645450.70894</v>
      </c>
      <c r="E57" s="101"/>
      <c r="F57" s="103"/>
      <c r="G57" s="101"/>
      <c r="H57" s="98" t="str">
        <f>+'X. Evaluacion Social'!N57</f>
        <v>VPN</v>
      </c>
      <c r="I57" s="109">
        <f>SUM(I17:I56)</f>
        <v>1691088636.73467</v>
      </c>
      <c r="L57" s="110"/>
    </row>
    <row r="58" s="80" customFormat="1" ht="12.75" spans="1:12">
      <c r="A58" s="101"/>
      <c r="B58" s="101"/>
      <c r="C58" s="102"/>
      <c r="D58" s="101"/>
      <c r="E58" s="101"/>
      <c r="F58" s="104"/>
      <c r="G58" s="101"/>
      <c r="H58" s="98" t="str">
        <f>+'X. Evaluacion Social'!N58</f>
        <v>TIR</v>
      </c>
      <c r="I58" s="111">
        <f>IRR(H17:H56)</f>
        <v>0.22253691875865</v>
      </c>
      <c r="L58" s="112"/>
    </row>
    <row r="59" s="80" customFormat="1" ht="12.75" spans="1:23">
      <c r="A59" s="101"/>
      <c r="B59" s="101"/>
      <c r="C59" s="102"/>
      <c r="D59" s="101"/>
      <c r="E59" s="101"/>
      <c r="F59" s="101"/>
      <c r="G59" s="101"/>
      <c r="H59" s="98" t="str">
        <f>+'X. Evaluacion Social'!N59</f>
        <v>TRI</v>
      </c>
      <c r="I59" s="113">
        <f>(H20)/D57</f>
        <v>0.222025328912623</v>
      </c>
      <c r="L59" s="114"/>
      <c r="M59" s="115" t="s">
        <v>1045</v>
      </c>
      <c r="R59" s="108"/>
      <c r="S59" s="108"/>
      <c r="W59" s="108"/>
    </row>
    <row r="60" s="80" customFormat="1" ht="12.75" spans="1:19">
      <c r="A60" s="86"/>
      <c r="B60" s="86"/>
      <c r="C60" s="86"/>
      <c r="D60" s="86"/>
      <c r="E60" s="86"/>
      <c r="F60" s="86"/>
      <c r="G60" s="86"/>
      <c r="H60" s="86"/>
      <c r="J60" s="86"/>
      <c r="K60" s="86"/>
      <c r="L60" s="86"/>
      <c r="M60" s="86"/>
      <c r="N60" s="86"/>
      <c r="O60" s="86"/>
      <c r="P60" s="86"/>
      <c r="Q60" s="86"/>
      <c r="R60" s="86"/>
      <c r="S60" s="86"/>
    </row>
    <row r="61" s="80" customFormat="1" ht="15" spans="5:37">
      <c r="E61" s="86"/>
      <c r="F61" s="86"/>
      <c r="G61" s="86"/>
      <c r="H61" s="86"/>
      <c r="I61" s="86"/>
      <c r="J61" s="86"/>
      <c r="K61" s="86"/>
      <c r="L61" s="86"/>
      <c r="M61" s="86"/>
      <c r="N61" s="86"/>
      <c r="O61" s="86"/>
      <c r="P61" s="86"/>
      <c r="Q61" s="86"/>
      <c r="R61" s="86"/>
      <c r="S61" s="86"/>
      <c r="X61" s="86"/>
      <c r="Y61" s="86"/>
      <c r="Z61" s="86"/>
      <c r="AA61" s="86"/>
      <c r="AB61" s="86"/>
      <c r="AC61" s="86"/>
      <c r="AD61" s="86"/>
      <c r="AI61" s="86"/>
      <c r="AJ61" s="86"/>
      <c r="AK61" s="118"/>
    </row>
    <row r="62" s="80" customFormat="1" ht="15" spans="5:37">
      <c r="E62" s="86"/>
      <c r="F62" s="86"/>
      <c r="G62" s="86"/>
      <c r="H62" s="86"/>
      <c r="I62" s="86"/>
      <c r="J62" s="86"/>
      <c r="K62" s="86"/>
      <c r="L62" s="86"/>
      <c r="M62" s="86"/>
      <c r="N62" s="86"/>
      <c r="O62" s="86"/>
      <c r="P62" s="86"/>
      <c r="Q62" s="86"/>
      <c r="R62" s="86"/>
      <c r="S62" s="86"/>
      <c r="X62" s="86"/>
      <c r="Y62" s="86"/>
      <c r="Z62" s="86"/>
      <c r="AA62" s="86"/>
      <c r="AB62" s="86"/>
      <c r="AC62" s="86"/>
      <c r="AD62" s="86"/>
      <c r="AI62" s="86"/>
      <c r="AJ62" s="86"/>
      <c r="AK62" s="118"/>
    </row>
    <row r="63" s="80" customFormat="1" ht="15" spans="5:37">
      <c r="E63" s="86"/>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I63" s="86"/>
      <c r="AJ63" s="86"/>
      <c r="AK63" s="118"/>
    </row>
    <row r="64" s="80" customFormat="1" ht="14.7" customHeight="1" spans="2:38">
      <c r="B64" s="105" t="s">
        <v>1050</v>
      </c>
      <c r="C64" s="106"/>
      <c r="D64" s="106"/>
      <c r="E64" s="106"/>
      <c r="F64" s="106"/>
      <c r="G64" s="106"/>
      <c r="H64" s="106"/>
      <c r="I64" s="106"/>
      <c r="J64" s="106"/>
      <c r="K64" s="106"/>
      <c r="L64" s="106"/>
      <c r="M64" s="106"/>
      <c r="N64" s="116"/>
      <c r="O64" s="117" t="s">
        <v>1051</v>
      </c>
      <c r="P64" s="117"/>
      <c r="Q64" s="117"/>
      <c r="R64" s="117"/>
      <c r="S64" s="116"/>
      <c r="T64" s="86"/>
      <c r="U64" s="86"/>
      <c r="V64" s="86"/>
      <c r="W64" s="86"/>
      <c r="X64" s="86"/>
      <c r="Y64" s="86"/>
      <c r="Z64" s="86"/>
      <c r="AA64" s="86"/>
      <c r="AB64" s="86"/>
      <c r="AC64" s="86"/>
      <c r="AD64" s="86"/>
      <c r="AE64" s="86"/>
      <c r="AJ64" s="86"/>
      <c r="AK64" s="86"/>
      <c r="AL64" s="118"/>
    </row>
    <row r="65" s="80" customFormat="1" ht="15" spans="2:34">
      <c r="B65" s="119">
        <v>-0.4</v>
      </c>
      <c r="C65" s="120"/>
      <c r="D65" s="121">
        <v>-0.15</v>
      </c>
      <c r="E65" s="121"/>
      <c r="F65" s="121">
        <v>0</v>
      </c>
      <c r="G65" s="121"/>
      <c r="H65" s="121">
        <v>0.3</v>
      </c>
      <c r="I65" s="121"/>
      <c r="J65" s="121">
        <v>0.55</v>
      </c>
      <c r="K65" s="121"/>
      <c r="L65" s="121">
        <v>1.812505999</v>
      </c>
      <c r="M65" s="121"/>
      <c r="O65" s="127" t="s">
        <v>1052</v>
      </c>
      <c r="P65" s="127" t="s">
        <v>1053</v>
      </c>
      <c r="Q65" s="127" t="s">
        <v>1043</v>
      </c>
      <c r="R65" s="133" t="s">
        <v>1044</v>
      </c>
      <c r="U65" s="86"/>
      <c r="V65" s="86"/>
      <c r="W65" s="86"/>
      <c r="X65" s="86"/>
      <c r="Y65" s="86"/>
      <c r="Z65" s="86"/>
      <c r="AA65" s="86"/>
      <c r="AF65" s="86"/>
      <c r="AG65" s="86"/>
      <c r="AH65" s="118"/>
    </row>
    <row r="66" s="80" customFormat="1" ht="25.5" spans="2:34">
      <c r="B66" s="122" t="s">
        <v>1040</v>
      </c>
      <c r="C66" s="122" t="s">
        <v>1054</v>
      </c>
      <c r="D66" s="122" t="s">
        <v>1040</v>
      </c>
      <c r="E66" s="122" t="s">
        <v>1054</v>
      </c>
      <c r="F66" s="122" t="s">
        <v>1040</v>
      </c>
      <c r="G66" s="122" t="s">
        <v>1054</v>
      </c>
      <c r="H66" s="122" t="s">
        <v>1040</v>
      </c>
      <c r="I66" s="122" t="s">
        <v>1054</v>
      </c>
      <c r="J66" s="122" t="s">
        <v>1040</v>
      </c>
      <c r="K66" s="122" t="s">
        <v>1054</v>
      </c>
      <c r="L66" s="122" t="s">
        <v>1040</v>
      </c>
      <c r="M66" s="122" t="s">
        <v>1054</v>
      </c>
      <c r="O66" s="128">
        <f>B65</f>
        <v>-0.4</v>
      </c>
      <c r="P66" s="129">
        <f>+$D$57*(1+O66)</f>
        <v>732387270.425366</v>
      </c>
      <c r="Q66" s="134">
        <f>+C107</f>
        <v>2129409018.68124</v>
      </c>
      <c r="R66" s="128">
        <f>+C108</f>
        <v>0.345098448333682</v>
      </c>
      <c r="U66" s="86"/>
      <c r="V66" s="86"/>
      <c r="W66" s="86"/>
      <c r="X66" s="86"/>
      <c r="Y66" s="86"/>
      <c r="Z66" s="86"/>
      <c r="AA66" s="86"/>
      <c r="AF66" s="86"/>
      <c r="AG66" s="86"/>
      <c r="AH66" s="118"/>
    </row>
    <row r="67" s="80" customFormat="1" ht="15" spans="1:34">
      <c r="A67" s="80">
        <v>0</v>
      </c>
      <c r="B67" s="123">
        <f>+C17-((D17*(1+$B$65))+E17+F17)</f>
        <v>-38448733.6436664</v>
      </c>
      <c r="C67" s="123">
        <f t="shared" ref="C67:C106" si="3">+B67/((1+$B$8)^A17)</f>
        <v>-38448733.6436664</v>
      </c>
      <c r="D67" s="123">
        <f>+C17-(($D17*(1+$D$65))+E17+F17)</f>
        <v>-54469039.3285273</v>
      </c>
      <c r="E67" s="123">
        <f t="shared" ref="E67:E106" si="4">+D67/((1+$B$8)^A17)</f>
        <v>-54469039.3285273</v>
      </c>
      <c r="F67" s="123">
        <f>+C17-(($D17*(1+$F$65))+F17+E17)</f>
        <v>-64081222.7394439</v>
      </c>
      <c r="G67" s="123">
        <f t="shared" ref="G67:G106" si="5">+F67/((1+$B$8)^A17)</f>
        <v>-64081222.7394439</v>
      </c>
      <c r="H67" s="123">
        <f>+C17-(($D17*(1+$H$65))+F17+E17)</f>
        <v>-83305589.5612771</v>
      </c>
      <c r="I67" s="123">
        <f t="shared" ref="I67:I106" si="6">+H67/((1+$B$8)^A17)</f>
        <v>-83305589.5612771</v>
      </c>
      <c r="J67" s="123">
        <f>+C17-(($D17*(1+$J$65))+F17+E17)</f>
        <v>-99325895.2461381</v>
      </c>
      <c r="K67" s="123">
        <f t="shared" ref="K67:K106" si="7">+J67/((1+$B$8)^A17)</f>
        <v>-99325895.2461381</v>
      </c>
      <c r="L67" s="124">
        <f>+C17-(($D17*(1+$L$65))+F17+E17)</f>
        <v>-180228823.377941</v>
      </c>
      <c r="M67" s="124">
        <f t="shared" ref="M67:M106" si="8">+L67/((1+$B$8)^A17)</f>
        <v>-180228823.377941</v>
      </c>
      <c r="O67" s="130">
        <f>D65</f>
        <v>-0.15</v>
      </c>
      <c r="P67" s="129">
        <f t="shared" ref="P67:P71" si="9">+$D$57*(1+O67)</f>
        <v>1037548633.1026</v>
      </c>
      <c r="Q67" s="135">
        <f>+E107</f>
        <v>1888798490.31278</v>
      </c>
      <c r="R67" s="136">
        <f>+E108</f>
        <v>0.264575716281617</v>
      </c>
      <c r="U67" s="86"/>
      <c r="V67" s="86"/>
      <c r="W67" s="86"/>
      <c r="X67" s="86"/>
      <c r="Y67" s="86"/>
      <c r="Z67" s="86"/>
      <c r="AA67" s="86"/>
      <c r="AF67" s="86"/>
      <c r="AG67" s="86"/>
      <c r="AH67" s="118"/>
    </row>
    <row r="68" s="80" customFormat="1" ht="15" spans="1:34">
      <c r="A68" s="80">
        <v>1</v>
      </c>
      <c r="B68" s="123">
        <f>+C18-((D18*(1+$B$65))+E18+F18)</f>
        <v>-646261724.441735</v>
      </c>
      <c r="C68" s="123">
        <f t="shared" si="3"/>
        <v>-587510658.583395</v>
      </c>
      <c r="D68" s="123">
        <f>+C18-(($D18*(1+$D$65))+E18+F18)</f>
        <v>-893310969.393696</v>
      </c>
      <c r="E68" s="123">
        <f t="shared" si="4"/>
        <v>-812100881.266997</v>
      </c>
      <c r="F68" s="123">
        <f>+C18-(($D18*(1+$F$65))+F18+E18)</f>
        <v>-1041540516.36487</v>
      </c>
      <c r="G68" s="123">
        <f t="shared" si="5"/>
        <v>-946855014.877157</v>
      </c>
      <c r="H68" s="123">
        <f>+C18-(($D18*(1+$H$65))+F18+E18)</f>
        <v>-1337999610.30723</v>
      </c>
      <c r="I68" s="123">
        <f t="shared" si="6"/>
        <v>-1216363282.09748</v>
      </c>
      <c r="J68" s="123">
        <f>+C18-(($D18*(1+$J$65))+F18+E18)</f>
        <v>-1585048855.25919</v>
      </c>
      <c r="K68" s="123">
        <f t="shared" si="7"/>
        <v>-1440953504.78108</v>
      </c>
      <c r="L68" s="124">
        <f>+C18-(($D18*(1+$L$65))+F18+E18)</f>
        <v>-2832653470.46028</v>
      </c>
      <c r="M68" s="124">
        <f t="shared" si="8"/>
        <v>-2575139518.60025</v>
      </c>
      <c r="O68" s="130">
        <f>F65</f>
        <v>0</v>
      </c>
      <c r="P68" s="129">
        <f t="shared" si="9"/>
        <v>1220645450.70894</v>
      </c>
      <c r="Q68" s="134">
        <f>+G107</f>
        <v>1744432173.2917</v>
      </c>
      <c r="R68" s="136">
        <f>+G108</f>
        <v>0.233136094533539</v>
      </c>
      <c r="U68" s="86"/>
      <c r="W68" s="86"/>
      <c r="X68" s="86"/>
      <c r="Y68" s="86"/>
      <c r="Z68" s="86"/>
      <c r="AA68" s="86"/>
      <c r="AF68" s="86"/>
      <c r="AG68" s="86"/>
      <c r="AH68" s="118"/>
    </row>
    <row r="69" s="80" customFormat="1" ht="15" spans="1:34">
      <c r="A69" s="80">
        <v>2</v>
      </c>
      <c r="B69" s="123">
        <f t="shared" ref="B69:B106" si="10">+H19</f>
        <v>91626729.6008202</v>
      </c>
      <c r="C69" s="123">
        <f t="shared" si="3"/>
        <v>75724569.9180332</v>
      </c>
      <c r="D69" s="123">
        <f>+B69</f>
        <v>91626729.6008202</v>
      </c>
      <c r="E69" s="123">
        <f t="shared" si="4"/>
        <v>75724569.9180332</v>
      </c>
      <c r="F69" s="123">
        <f>+D69</f>
        <v>91626729.6008202</v>
      </c>
      <c r="G69" s="123">
        <f t="shared" si="5"/>
        <v>75724569.9180332</v>
      </c>
      <c r="H69" s="123">
        <f>+F69</f>
        <v>91626729.6008202</v>
      </c>
      <c r="I69" s="123">
        <f t="shared" si="6"/>
        <v>75724569.9180332</v>
      </c>
      <c r="J69" s="123">
        <f>+H69</f>
        <v>91626729.6008202</v>
      </c>
      <c r="K69" s="123">
        <f t="shared" si="7"/>
        <v>75724569.9180332</v>
      </c>
      <c r="L69" s="124">
        <f>+J69</f>
        <v>91626729.6008202</v>
      </c>
      <c r="M69" s="124">
        <f t="shared" si="8"/>
        <v>75724569.9180332</v>
      </c>
      <c r="O69" s="130">
        <f>H65</f>
        <v>0.3</v>
      </c>
      <c r="P69" s="129">
        <f t="shared" si="9"/>
        <v>1586839085.92163</v>
      </c>
      <c r="Q69" s="135">
        <f>+I107</f>
        <v>1455699539.24954</v>
      </c>
      <c r="R69" s="136">
        <f>+I108</f>
        <v>0.18955192771005</v>
      </c>
      <c r="U69" s="86"/>
      <c r="V69" s="86"/>
      <c r="W69" s="86"/>
      <c r="X69" s="86"/>
      <c r="Y69" s="86"/>
      <c r="Z69" s="86"/>
      <c r="AA69" s="86"/>
      <c r="AF69" s="86"/>
      <c r="AG69" s="86"/>
      <c r="AH69" s="118"/>
    </row>
    <row r="70" s="80" customFormat="1" ht="15" spans="1:34">
      <c r="A70" s="80">
        <v>3</v>
      </c>
      <c r="B70" s="123">
        <f t="shared" si="10"/>
        <v>271014207.679351</v>
      </c>
      <c r="C70" s="123">
        <f t="shared" si="3"/>
        <v>203616985.48411</v>
      </c>
      <c r="D70" s="123">
        <f t="shared" ref="D70:D106" si="11">+B70</f>
        <v>271014207.679351</v>
      </c>
      <c r="E70" s="123">
        <f t="shared" si="4"/>
        <v>203616985.48411</v>
      </c>
      <c r="F70" s="123">
        <f t="shared" ref="F70:F106" si="12">+D70</f>
        <v>271014207.679351</v>
      </c>
      <c r="G70" s="123">
        <f t="shared" si="5"/>
        <v>203616985.48411</v>
      </c>
      <c r="H70" s="123">
        <f t="shared" ref="H70:H106" si="13">+F70</f>
        <v>271014207.679351</v>
      </c>
      <c r="I70" s="123">
        <f t="shared" si="6"/>
        <v>203616985.48411</v>
      </c>
      <c r="J70" s="123">
        <f t="shared" ref="J70:J106" si="14">+H70</f>
        <v>271014207.679351</v>
      </c>
      <c r="K70" s="123">
        <f t="shared" si="7"/>
        <v>203616985.48411</v>
      </c>
      <c r="L70" s="124">
        <f t="shared" ref="L70:L106" si="15">+J70</f>
        <v>271014207.679351</v>
      </c>
      <c r="M70" s="124">
        <f t="shared" si="8"/>
        <v>203616985.48411</v>
      </c>
      <c r="O70" s="130">
        <f>J65</f>
        <v>0.55</v>
      </c>
      <c r="P70" s="129">
        <f t="shared" si="9"/>
        <v>1892000448.59886</v>
      </c>
      <c r="Q70" s="135">
        <f>+K107</f>
        <v>1215089010.88108</v>
      </c>
      <c r="R70" s="136">
        <f>+K108</f>
        <v>0.16467147654221</v>
      </c>
      <c r="U70" s="86"/>
      <c r="V70" s="86"/>
      <c r="W70" s="86"/>
      <c r="X70" s="86"/>
      <c r="Y70" s="86"/>
      <c r="Z70" s="86"/>
      <c r="AA70" s="86"/>
      <c r="AB70" s="86"/>
      <c r="AC70" s="86"/>
      <c r="AD70" s="86"/>
      <c r="AE70" s="86"/>
      <c r="AF70" s="86"/>
      <c r="AG70" s="86"/>
      <c r="AH70" s="118"/>
    </row>
    <row r="71" s="80" customFormat="1" ht="15" spans="1:30">
      <c r="A71" s="80">
        <v>4</v>
      </c>
      <c r="B71" s="123">
        <f t="shared" si="10"/>
        <v>281558306.287206</v>
      </c>
      <c r="C71" s="123">
        <f t="shared" si="3"/>
        <v>192308111.663962</v>
      </c>
      <c r="D71" s="123">
        <f t="shared" si="11"/>
        <v>281558306.287206</v>
      </c>
      <c r="E71" s="123">
        <f t="shared" si="4"/>
        <v>192308111.663962</v>
      </c>
      <c r="F71" s="123">
        <f t="shared" si="12"/>
        <v>281558306.287206</v>
      </c>
      <c r="G71" s="123">
        <f t="shared" si="5"/>
        <v>192308111.663962</v>
      </c>
      <c r="H71" s="123">
        <f t="shared" si="13"/>
        <v>281558306.287206</v>
      </c>
      <c r="I71" s="123">
        <f t="shared" si="6"/>
        <v>192308111.663962</v>
      </c>
      <c r="J71" s="123">
        <f t="shared" si="14"/>
        <v>281558306.287206</v>
      </c>
      <c r="K71" s="123">
        <f t="shared" si="7"/>
        <v>192308111.663962</v>
      </c>
      <c r="L71" s="124">
        <f t="shared" si="15"/>
        <v>281558306.287206</v>
      </c>
      <c r="M71" s="124">
        <f t="shared" si="8"/>
        <v>192308111.663962</v>
      </c>
      <c r="O71" s="131">
        <f>+L65</f>
        <v>1.812505999</v>
      </c>
      <c r="P71" s="129">
        <f t="shared" si="9"/>
        <v>3433072652.77096</v>
      </c>
      <c r="Q71" s="137">
        <f>+M107</f>
        <v>68.9301081020385</v>
      </c>
      <c r="R71" s="136">
        <f>+M108</f>
        <v>0.100000002256644</v>
      </c>
      <c r="S71" s="86"/>
      <c r="T71" s="86"/>
      <c r="U71" s="86"/>
      <c r="V71" s="86"/>
      <c r="W71" s="86"/>
      <c r="X71" s="86"/>
      <c r="Y71" s="86"/>
      <c r="Z71" s="86"/>
      <c r="AA71" s="86"/>
      <c r="AB71" s="86"/>
      <c r="AC71" s="86"/>
      <c r="AD71" s="118"/>
    </row>
    <row r="72" s="80" customFormat="1" ht="15" spans="1:34">
      <c r="A72" s="80">
        <v>5</v>
      </c>
      <c r="B72" s="123">
        <f t="shared" si="10"/>
        <v>291663390.833678</v>
      </c>
      <c r="C72" s="123">
        <f t="shared" si="3"/>
        <v>181100018.524367</v>
      </c>
      <c r="D72" s="123">
        <f t="shared" si="11"/>
        <v>291663390.833678</v>
      </c>
      <c r="E72" s="123">
        <f t="shared" si="4"/>
        <v>181100018.524367</v>
      </c>
      <c r="F72" s="123">
        <f t="shared" si="12"/>
        <v>291663390.833678</v>
      </c>
      <c r="G72" s="123">
        <f t="shared" si="5"/>
        <v>181100018.524367</v>
      </c>
      <c r="H72" s="123">
        <f t="shared" si="13"/>
        <v>291663390.833678</v>
      </c>
      <c r="I72" s="123">
        <f t="shared" si="6"/>
        <v>181100018.524367</v>
      </c>
      <c r="J72" s="123">
        <f t="shared" si="14"/>
        <v>291663390.833678</v>
      </c>
      <c r="K72" s="123">
        <f t="shared" si="7"/>
        <v>181100018.524367</v>
      </c>
      <c r="L72" s="124">
        <f t="shared" si="15"/>
        <v>291663390.833678</v>
      </c>
      <c r="M72" s="124">
        <f t="shared" si="8"/>
        <v>181100018.524367</v>
      </c>
      <c r="U72" s="86"/>
      <c r="V72" s="86"/>
      <c r="W72" s="86"/>
      <c r="X72" s="86"/>
      <c r="Y72" s="86"/>
      <c r="Z72" s="86"/>
      <c r="AA72" s="86"/>
      <c r="AB72" s="86"/>
      <c r="AC72" s="86"/>
      <c r="AD72" s="86"/>
      <c r="AE72" s="86"/>
      <c r="AF72" s="86"/>
      <c r="AG72" s="86"/>
      <c r="AH72" s="118"/>
    </row>
    <row r="73" s="80" customFormat="1" ht="15" spans="1:34">
      <c r="A73" s="80">
        <v>6</v>
      </c>
      <c r="B73" s="123">
        <f t="shared" si="10"/>
        <v>301375555.936415</v>
      </c>
      <c r="C73" s="123">
        <f t="shared" si="3"/>
        <v>170118644.48157</v>
      </c>
      <c r="D73" s="123">
        <f t="shared" si="11"/>
        <v>301375555.936415</v>
      </c>
      <c r="E73" s="123">
        <f t="shared" si="4"/>
        <v>170118644.48157</v>
      </c>
      <c r="F73" s="123">
        <f t="shared" si="12"/>
        <v>301375555.936415</v>
      </c>
      <c r="G73" s="123">
        <f t="shared" si="5"/>
        <v>170118644.48157</v>
      </c>
      <c r="H73" s="123">
        <f t="shared" si="13"/>
        <v>301375555.936415</v>
      </c>
      <c r="I73" s="123">
        <f t="shared" si="6"/>
        <v>170118644.48157</v>
      </c>
      <c r="J73" s="123">
        <f t="shared" si="14"/>
        <v>301375555.936415</v>
      </c>
      <c r="K73" s="123">
        <f t="shared" si="7"/>
        <v>170118644.48157</v>
      </c>
      <c r="L73" s="124">
        <f t="shared" si="15"/>
        <v>301375555.936415</v>
      </c>
      <c r="M73" s="124">
        <f t="shared" si="8"/>
        <v>170118644.48157</v>
      </c>
      <c r="P73" s="86"/>
      <c r="Q73" s="86"/>
      <c r="R73" s="86"/>
      <c r="S73" s="86"/>
      <c r="T73" s="86"/>
      <c r="U73" s="86"/>
      <c r="V73" s="86"/>
      <c r="W73" s="86"/>
      <c r="X73" s="86"/>
      <c r="Y73" s="86"/>
      <c r="Z73" s="86"/>
      <c r="AA73" s="86"/>
      <c r="AB73" s="86"/>
      <c r="AC73" s="86"/>
      <c r="AD73" s="86"/>
      <c r="AE73" s="86"/>
      <c r="AF73" s="86"/>
      <c r="AG73" s="86"/>
      <c r="AH73" s="118"/>
    </row>
    <row r="74" s="80" customFormat="1" ht="15" spans="1:34">
      <c r="A74" s="80">
        <v>7</v>
      </c>
      <c r="B74" s="123">
        <f t="shared" si="10"/>
        <v>311265480.08254</v>
      </c>
      <c r="C74" s="123">
        <f t="shared" si="3"/>
        <v>159728408.029334</v>
      </c>
      <c r="D74" s="123">
        <f t="shared" si="11"/>
        <v>311265480.08254</v>
      </c>
      <c r="E74" s="123">
        <f t="shared" si="4"/>
        <v>159728408.029334</v>
      </c>
      <c r="F74" s="123">
        <f t="shared" si="12"/>
        <v>311265480.08254</v>
      </c>
      <c r="G74" s="123">
        <f t="shared" si="5"/>
        <v>159728408.029334</v>
      </c>
      <c r="H74" s="123">
        <f t="shared" si="13"/>
        <v>311265480.08254</v>
      </c>
      <c r="I74" s="123">
        <f t="shared" si="6"/>
        <v>159728408.029334</v>
      </c>
      <c r="J74" s="123">
        <f t="shared" si="14"/>
        <v>311265480.08254</v>
      </c>
      <c r="K74" s="123">
        <f t="shared" si="7"/>
        <v>159728408.029334</v>
      </c>
      <c r="L74" s="124">
        <f t="shared" si="15"/>
        <v>311265480.08254</v>
      </c>
      <c r="M74" s="124">
        <f t="shared" si="8"/>
        <v>159728408.029334</v>
      </c>
      <c r="P74" s="86"/>
      <c r="Q74" s="86"/>
      <c r="R74" s="86"/>
      <c r="S74" s="86"/>
      <c r="T74" s="86"/>
      <c r="U74" s="86"/>
      <c r="V74" s="86"/>
      <c r="W74" s="86"/>
      <c r="X74" s="86"/>
      <c r="Y74" s="86"/>
      <c r="Z74" s="86"/>
      <c r="AA74" s="86"/>
      <c r="AB74" s="86"/>
      <c r="AC74" s="86"/>
      <c r="AD74" s="86"/>
      <c r="AE74" s="86"/>
      <c r="AF74" s="86"/>
      <c r="AG74" s="86"/>
      <c r="AH74" s="118"/>
    </row>
    <row r="75" s="80" customFormat="1" ht="15" spans="1:34">
      <c r="A75" s="80">
        <v>8</v>
      </c>
      <c r="B75" s="123">
        <f t="shared" si="10"/>
        <v>319229359.122687</v>
      </c>
      <c r="C75" s="123">
        <f t="shared" si="3"/>
        <v>148922852.010357</v>
      </c>
      <c r="D75" s="123">
        <f t="shared" si="11"/>
        <v>319229359.122687</v>
      </c>
      <c r="E75" s="123">
        <f t="shared" si="4"/>
        <v>148922852.010357</v>
      </c>
      <c r="F75" s="123">
        <f t="shared" si="12"/>
        <v>319229359.122687</v>
      </c>
      <c r="G75" s="123">
        <f t="shared" si="5"/>
        <v>148922852.010357</v>
      </c>
      <c r="H75" s="123">
        <f t="shared" si="13"/>
        <v>319229359.122687</v>
      </c>
      <c r="I75" s="123">
        <f t="shared" si="6"/>
        <v>148922852.010357</v>
      </c>
      <c r="J75" s="123">
        <f t="shared" si="14"/>
        <v>319229359.122687</v>
      </c>
      <c r="K75" s="123">
        <f t="shared" si="7"/>
        <v>148922852.010357</v>
      </c>
      <c r="L75" s="124">
        <f t="shared" si="15"/>
        <v>319229359.122687</v>
      </c>
      <c r="M75" s="124">
        <f t="shared" si="8"/>
        <v>148922852.010357</v>
      </c>
      <c r="P75" s="86"/>
      <c r="U75" s="86"/>
      <c r="V75" s="86"/>
      <c r="W75" s="86"/>
      <c r="X75" s="86"/>
      <c r="Y75" s="86"/>
      <c r="Z75" s="86"/>
      <c r="AA75" s="86"/>
      <c r="AB75" s="86"/>
      <c r="AC75" s="86"/>
      <c r="AD75" s="86"/>
      <c r="AE75" s="86"/>
      <c r="AF75" s="86"/>
      <c r="AG75" s="86"/>
      <c r="AH75" s="118"/>
    </row>
    <row r="76" s="80" customFormat="1" ht="15" spans="1:34">
      <c r="A76" s="80">
        <v>9</v>
      </c>
      <c r="B76" s="123">
        <f t="shared" si="10"/>
        <v>298176511.732349</v>
      </c>
      <c r="C76" s="123">
        <f t="shared" si="3"/>
        <v>126455948.480305</v>
      </c>
      <c r="D76" s="123">
        <f t="shared" si="11"/>
        <v>298176511.732349</v>
      </c>
      <c r="E76" s="123">
        <f t="shared" si="4"/>
        <v>126455948.480305</v>
      </c>
      <c r="F76" s="123">
        <f t="shared" si="12"/>
        <v>298176511.732349</v>
      </c>
      <c r="G76" s="123">
        <f t="shared" si="5"/>
        <v>126455948.480305</v>
      </c>
      <c r="H76" s="123">
        <f t="shared" si="13"/>
        <v>298176511.732349</v>
      </c>
      <c r="I76" s="123">
        <f t="shared" si="6"/>
        <v>126455948.480305</v>
      </c>
      <c r="J76" s="123">
        <f t="shared" si="14"/>
        <v>298176511.732349</v>
      </c>
      <c r="K76" s="123">
        <f t="shared" si="7"/>
        <v>126455948.480305</v>
      </c>
      <c r="L76" s="124">
        <f t="shared" si="15"/>
        <v>298176511.732349</v>
      </c>
      <c r="M76" s="124">
        <f t="shared" si="8"/>
        <v>126455948.480305</v>
      </c>
      <c r="P76" s="86"/>
      <c r="U76" s="86"/>
      <c r="V76" s="86"/>
      <c r="W76" s="86"/>
      <c r="X76" s="86"/>
      <c r="Y76" s="86"/>
      <c r="Z76" s="86"/>
      <c r="AA76" s="86"/>
      <c r="AB76" s="86"/>
      <c r="AC76" s="86"/>
      <c r="AD76" s="86"/>
      <c r="AE76" s="86"/>
      <c r="AF76" s="86"/>
      <c r="AG76" s="86"/>
      <c r="AH76" s="118"/>
    </row>
    <row r="77" s="80" customFormat="1" ht="12.75" spans="1:13">
      <c r="A77" s="80">
        <v>10</v>
      </c>
      <c r="B77" s="123">
        <f t="shared" si="10"/>
        <v>214534793.85511</v>
      </c>
      <c r="C77" s="123">
        <f t="shared" si="3"/>
        <v>82712450.1199856</v>
      </c>
      <c r="D77" s="123">
        <f t="shared" si="11"/>
        <v>214534793.85511</v>
      </c>
      <c r="E77" s="123">
        <f t="shared" si="4"/>
        <v>82712450.1199856</v>
      </c>
      <c r="F77" s="123">
        <f t="shared" si="12"/>
        <v>214534793.85511</v>
      </c>
      <c r="G77" s="123">
        <f t="shared" si="5"/>
        <v>82712450.1199856</v>
      </c>
      <c r="H77" s="123">
        <f t="shared" si="13"/>
        <v>214534793.85511</v>
      </c>
      <c r="I77" s="123">
        <f t="shared" si="6"/>
        <v>82712450.1199856</v>
      </c>
      <c r="J77" s="123">
        <f t="shared" si="14"/>
        <v>214534793.85511</v>
      </c>
      <c r="K77" s="123">
        <f t="shared" si="7"/>
        <v>82712450.1199856</v>
      </c>
      <c r="L77" s="124">
        <f t="shared" si="15"/>
        <v>214534793.85511</v>
      </c>
      <c r="M77" s="124">
        <f t="shared" si="8"/>
        <v>82712450.1199856</v>
      </c>
    </row>
    <row r="78" s="80" customFormat="1" ht="12.75" spans="1:13">
      <c r="A78" s="80">
        <v>11</v>
      </c>
      <c r="B78" s="123">
        <f t="shared" si="10"/>
        <v>349414100.122269</v>
      </c>
      <c r="C78" s="123">
        <f t="shared" si="3"/>
        <v>122467510.485636</v>
      </c>
      <c r="D78" s="123">
        <f t="shared" si="11"/>
        <v>349414100.122269</v>
      </c>
      <c r="E78" s="123">
        <f t="shared" si="4"/>
        <v>122467510.485636</v>
      </c>
      <c r="F78" s="123">
        <f t="shared" si="12"/>
        <v>349414100.122269</v>
      </c>
      <c r="G78" s="123">
        <f t="shared" si="5"/>
        <v>122467510.485636</v>
      </c>
      <c r="H78" s="123">
        <f t="shared" si="13"/>
        <v>349414100.122269</v>
      </c>
      <c r="I78" s="123">
        <f t="shared" si="6"/>
        <v>122467510.485636</v>
      </c>
      <c r="J78" s="123">
        <f t="shared" si="14"/>
        <v>349414100.122269</v>
      </c>
      <c r="K78" s="123">
        <f t="shared" si="7"/>
        <v>122467510.485636</v>
      </c>
      <c r="L78" s="124">
        <f t="shared" si="15"/>
        <v>349414100.122269</v>
      </c>
      <c r="M78" s="124">
        <f t="shared" si="8"/>
        <v>122467510.485636</v>
      </c>
    </row>
    <row r="79" s="80" customFormat="1" ht="12.75" spans="1:13">
      <c r="A79" s="80">
        <v>12</v>
      </c>
      <c r="B79" s="123">
        <f t="shared" si="10"/>
        <v>358734062.53523</v>
      </c>
      <c r="C79" s="123">
        <f t="shared" si="3"/>
        <v>114303727.686159</v>
      </c>
      <c r="D79" s="123">
        <f t="shared" si="11"/>
        <v>358734062.53523</v>
      </c>
      <c r="E79" s="123">
        <f t="shared" si="4"/>
        <v>114303727.686159</v>
      </c>
      <c r="F79" s="123">
        <f t="shared" si="12"/>
        <v>358734062.53523</v>
      </c>
      <c r="G79" s="123">
        <f t="shared" si="5"/>
        <v>114303727.686159</v>
      </c>
      <c r="H79" s="123">
        <f t="shared" si="13"/>
        <v>358734062.53523</v>
      </c>
      <c r="I79" s="123">
        <f t="shared" si="6"/>
        <v>114303727.686159</v>
      </c>
      <c r="J79" s="123">
        <f t="shared" si="14"/>
        <v>358734062.53523</v>
      </c>
      <c r="K79" s="123">
        <f t="shared" si="7"/>
        <v>114303727.686159</v>
      </c>
      <c r="L79" s="124">
        <f t="shared" si="15"/>
        <v>358734062.53523</v>
      </c>
      <c r="M79" s="124">
        <f t="shared" si="8"/>
        <v>114303727.686159</v>
      </c>
    </row>
    <row r="80" s="80" customFormat="1" ht="12.75" spans="1:13">
      <c r="A80" s="80">
        <v>13</v>
      </c>
      <c r="B80" s="123">
        <f t="shared" si="10"/>
        <v>318593520.825847</v>
      </c>
      <c r="C80" s="123">
        <f t="shared" si="3"/>
        <v>92285194.5981464</v>
      </c>
      <c r="D80" s="123">
        <f t="shared" si="11"/>
        <v>318593520.825847</v>
      </c>
      <c r="E80" s="123">
        <f t="shared" si="4"/>
        <v>92285194.5981464</v>
      </c>
      <c r="F80" s="123">
        <f t="shared" si="12"/>
        <v>318593520.825847</v>
      </c>
      <c r="G80" s="123">
        <f t="shared" si="5"/>
        <v>92285194.5981464</v>
      </c>
      <c r="H80" s="123">
        <f t="shared" si="13"/>
        <v>318593520.825847</v>
      </c>
      <c r="I80" s="123">
        <f t="shared" si="6"/>
        <v>92285194.5981464</v>
      </c>
      <c r="J80" s="123">
        <f t="shared" si="14"/>
        <v>318593520.825847</v>
      </c>
      <c r="K80" s="123">
        <f t="shared" si="7"/>
        <v>92285194.5981464</v>
      </c>
      <c r="L80" s="124">
        <f t="shared" si="15"/>
        <v>318593520.825847</v>
      </c>
      <c r="M80" s="124">
        <f t="shared" si="8"/>
        <v>92285194.5981464</v>
      </c>
    </row>
    <row r="81" s="80" customFormat="1" ht="12.75" spans="1:13">
      <c r="A81" s="80">
        <v>14</v>
      </c>
      <c r="B81" s="123">
        <f t="shared" si="10"/>
        <v>377164378.143225</v>
      </c>
      <c r="C81" s="123">
        <f t="shared" si="3"/>
        <v>99319168.7760281</v>
      </c>
      <c r="D81" s="123">
        <f t="shared" si="11"/>
        <v>377164378.143225</v>
      </c>
      <c r="E81" s="123">
        <f t="shared" si="4"/>
        <v>99319168.7760281</v>
      </c>
      <c r="F81" s="123">
        <f t="shared" si="12"/>
        <v>377164378.143225</v>
      </c>
      <c r="G81" s="123">
        <f t="shared" si="5"/>
        <v>99319168.7760281</v>
      </c>
      <c r="H81" s="123">
        <f t="shared" si="13"/>
        <v>377164378.143225</v>
      </c>
      <c r="I81" s="123">
        <f t="shared" si="6"/>
        <v>99319168.7760281</v>
      </c>
      <c r="J81" s="123">
        <f t="shared" si="14"/>
        <v>377164378.143225</v>
      </c>
      <c r="K81" s="123">
        <f t="shared" si="7"/>
        <v>99319168.7760281</v>
      </c>
      <c r="L81" s="124">
        <f t="shared" si="15"/>
        <v>377164378.143225</v>
      </c>
      <c r="M81" s="124">
        <f t="shared" si="8"/>
        <v>99319168.7760281</v>
      </c>
    </row>
    <row r="82" s="80" customFormat="1" ht="12.75" spans="1:13">
      <c r="A82" s="80">
        <v>15</v>
      </c>
      <c r="B82" s="123">
        <f t="shared" si="10"/>
        <v>386244405.771178</v>
      </c>
      <c r="C82" s="123">
        <f t="shared" si="3"/>
        <v>92463839.8549371</v>
      </c>
      <c r="D82" s="123">
        <f t="shared" si="11"/>
        <v>386244405.771178</v>
      </c>
      <c r="E82" s="123">
        <f t="shared" si="4"/>
        <v>92463839.8549371</v>
      </c>
      <c r="F82" s="123">
        <f t="shared" si="12"/>
        <v>386244405.771178</v>
      </c>
      <c r="G82" s="123">
        <f t="shared" si="5"/>
        <v>92463839.8549371</v>
      </c>
      <c r="H82" s="123">
        <f t="shared" si="13"/>
        <v>386244405.771178</v>
      </c>
      <c r="I82" s="123">
        <f t="shared" si="6"/>
        <v>92463839.8549371</v>
      </c>
      <c r="J82" s="123">
        <f t="shared" si="14"/>
        <v>386244405.771178</v>
      </c>
      <c r="K82" s="123">
        <f t="shared" si="7"/>
        <v>92463839.8549371</v>
      </c>
      <c r="L82" s="124">
        <f t="shared" si="15"/>
        <v>386244405.771178</v>
      </c>
      <c r="M82" s="124">
        <f t="shared" si="8"/>
        <v>92463839.8549371</v>
      </c>
    </row>
    <row r="83" s="80" customFormat="1" ht="12.75" spans="1:13">
      <c r="A83" s="80">
        <v>16</v>
      </c>
      <c r="B83" s="123">
        <f t="shared" si="10"/>
        <v>393458800.298059</v>
      </c>
      <c r="C83" s="123">
        <f t="shared" si="3"/>
        <v>85628098.6778951</v>
      </c>
      <c r="D83" s="123">
        <f t="shared" si="11"/>
        <v>393458800.298059</v>
      </c>
      <c r="E83" s="123">
        <f t="shared" si="4"/>
        <v>85628098.6778951</v>
      </c>
      <c r="F83" s="123">
        <f t="shared" si="12"/>
        <v>393458800.298059</v>
      </c>
      <c r="G83" s="123">
        <f t="shared" si="5"/>
        <v>85628098.6778951</v>
      </c>
      <c r="H83" s="123">
        <f t="shared" si="13"/>
        <v>393458800.298059</v>
      </c>
      <c r="I83" s="123">
        <f t="shared" si="6"/>
        <v>85628098.6778951</v>
      </c>
      <c r="J83" s="123">
        <f t="shared" si="14"/>
        <v>393458800.298059</v>
      </c>
      <c r="K83" s="123">
        <f t="shared" si="7"/>
        <v>85628098.6778951</v>
      </c>
      <c r="L83" s="124">
        <f t="shared" si="15"/>
        <v>393458800.298059</v>
      </c>
      <c r="M83" s="124">
        <f t="shared" si="8"/>
        <v>85628098.6778951</v>
      </c>
    </row>
    <row r="84" s="80" customFormat="1" ht="12.75" spans="1:13">
      <c r="A84" s="80">
        <v>17</v>
      </c>
      <c r="B84" s="123">
        <f t="shared" si="10"/>
        <v>176357693.951802</v>
      </c>
      <c r="C84" s="123">
        <f t="shared" si="3"/>
        <v>34891429.5678857</v>
      </c>
      <c r="D84" s="123">
        <f t="shared" si="11"/>
        <v>176357693.951802</v>
      </c>
      <c r="E84" s="123">
        <f t="shared" si="4"/>
        <v>34891429.5678857</v>
      </c>
      <c r="F84" s="123">
        <f t="shared" si="12"/>
        <v>176357693.951802</v>
      </c>
      <c r="G84" s="123">
        <f t="shared" si="5"/>
        <v>34891429.5678857</v>
      </c>
      <c r="H84" s="123">
        <f t="shared" si="13"/>
        <v>176357693.951802</v>
      </c>
      <c r="I84" s="123">
        <f t="shared" si="6"/>
        <v>34891429.5678857</v>
      </c>
      <c r="J84" s="123">
        <f t="shared" si="14"/>
        <v>176357693.951802</v>
      </c>
      <c r="K84" s="123">
        <f t="shared" si="7"/>
        <v>34891429.5678857</v>
      </c>
      <c r="L84" s="124">
        <f t="shared" si="15"/>
        <v>176357693.951802</v>
      </c>
      <c r="M84" s="124">
        <f t="shared" si="8"/>
        <v>34891429.5678857</v>
      </c>
    </row>
    <row r="85" s="80" customFormat="1" ht="12.75" spans="1:13">
      <c r="A85" s="80">
        <v>18</v>
      </c>
      <c r="B85" s="123">
        <f t="shared" si="10"/>
        <v>396997998.324844</v>
      </c>
      <c r="C85" s="123">
        <f t="shared" si="3"/>
        <v>71403579.5750866</v>
      </c>
      <c r="D85" s="123">
        <f t="shared" si="11"/>
        <v>396997998.324844</v>
      </c>
      <c r="E85" s="123">
        <f t="shared" si="4"/>
        <v>71403579.5750866</v>
      </c>
      <c r="F85" s="123">
        <f t="shared" si="12"/>
        <v>396997998.324844</v>
      </c>
      <c r="G85" s="123">
        <f t="shared" si="5"/>
        <v>71403579.5750866</v>
      </c>
      <c r="H85" s="123">
        <f t="shared" si="13"/>
        <v>396997998.324844</v>
      </c>
      <c r="I85" s="123">
        <f t="shared" si="6"/>
        <v>71403579.5750866</v>
      </c>
      <c r="J85" s="123">
        <f t="shared" si="14"/>
        <v>396997998.324844</v>
      </c>
      <c r="K85" s="123">
        <f t="shared" si="7"/>
        <v>71403579.5750866</v>
      </c>
      <c r="L85" s="124">
        <f t="shared" si="15"/>
        <v>396997998.324844</v>
      </c>
      <c r="M85" s="124">
        <f t="shared" si="8"/>
        <v>71403579.5750866</v>
      </c>
    </row>
    <row r="86" s="80" customFormat="1" ht="12.75" spans="1:13">
      <c r="A86" s="80">
        <v>19</v>
      </c>
      <c r="B86" s="123">
        <f t="shared" si="10"/>
        <v>421332538.25591</v>
      </c>
      <c r="C86" s="123">
        <f t="shared" si="3"/>
        <v>68891236.8000776</v>
      </c>
      <c r="D86" s="123">
        <f t="shared" si="11"/>
        <v>421332538.25591</v>
      </c>
      <c r="E86" s="123">
        <f t="shared" si="4"/>
        <v>68891236.8000776</v>
      </c>
      <c r="F86" s="123">
        <f t="shared" si="12"/>
        <v>421332538.25591</v>
      </c>
      <c r="G86" s="123">
        <f t="shared" si="5"/>
        <v>68891236.8000776</v>
      </c>
      <c r="H86" s="123">
        <f t="shared" si="13"/>
        <v>421332538.25591</v>
      </c>
      <c r="I86" s="123">
        <f t="shared" si="6"/>
        <v>68891236.8000776</v>
      </c>
      <c r="J86" s="123">
        <f t="shared" si="14"/>
        <v>421332538.25591</v>
      </c>
      <c r="K86" s="123">
        <f t="shared" si="7"/>
        <v>68891236.8000776</v>
      </c>
      <c r="L86" s="124">
        <f t="shared" si="15"/>
        <v>421332538.25591</v>
      </c>
      <c r="M86" s="124">
        <f t="shared" si="8"/>
        <v>68891236.8000776</v>
      </c>
    </row>
    <row r="87" s="80" customFormat="1" ht="12.75" spans="1:13">
      <c r="A87" s="80">
        <v>20</v>
      </c>
      <c r="B87" s="123">
        <f t="shared" si="10"/>
        <v>429818464.948951</v>
      </c>
      <c r="C87" s="123">
        <f t="shared" si="3"/>
        <v>63889776.0217803</v>
      </c>
      <c r="D87" s="123">
        <f t="shared" si="11"/>
        <v>429818464.948951</v>
      </c>
      <c r="E87" s="123">
        <f t="shared" si="4"/>
        <v>63889776.0217803</v>
      </c>
      <c r="F87" s="123">
        <f t="shared" si="12"/>
        <v>429818464.948951</v>
      </c>
      <c r="G87" s="123">
        <f t="shared" si="5"/>
        <v>63889776.0217803</v>
      </c>
      <c r="H87" s="123">
        <f t="shared" si="13"/>
        <v>429818464.948951</v>
      </c>
      <c r="I87" s="123">
        <f t="shared" si="6"/>
        <v>63889776.0217803</v>
      </c>
      <c r="J87" s="123">
        <f t="shared" si="14"/>
        <v>429818464.948951</v>
      </c>
      <c r="K87" s="123">
        <f t="shared" si="7"/>
        <v>63889776.0217803</v>
      </c>
      <c r="L87" s="124">
        <f t="shared" si="15"/>
        <v>429818464.948951</v>
      </c>
      <c r="M87" s="124">
        <f t="shared" si="8"/>
        <v>63889776.0217803</v>
      </c>
    </row>
    <row r="88" s="80" customFormat="1" ht="12.75" spans="1:13">
      <c r="A88" s="80">
        <v>21</v>
      </c>
      <c r="B88" s="123">
        <f t="shared" si="10"/>
        <v>438225549.769186</v>
      </c>
      <c r="C88" s="123">
        <f t="shared" si="3"/>
        <v>59217668.7368788</v>
      </c>
      <c r="D88" s="123">
        <f t="shared" si="11"/>
        <v>438225549.769186</v>
      </c>
      <c r="E88" s="123">
        <f t="shared" si="4"/>
        <v>59217668.7368788</v>
      </c>
      <c r="F88" s="123">
        <f t="shared" si="12"/>
        <v>438225549.769186</v>
      </c>
      <c r="G88" s="123">
        <f t="shared" si="5"/>
        <v>59217668.7368788</v>
      </c>
      <c r="H88" s="123">
        <f t="shared" si="13"/>
        <v>438225549.769186</v>
      </c>
      <c r="I88" s="123">
        <f t="shared" si="6"/>
        <v>59217668.7368788</v>
      </c>
      <c r="J88" s="123">
        <f t="shared" si="14"/>
        <v>438225549.769186</v>
      </c>
      <c r="K88" s="123">
        <f t="shared" si="7"/>
        <v>59217668.7368788</v>
      </c>
      <c r="L88" s="124">
        <f t="shared" si="15"/>
        <v>438225549.769186</v>
      </c>
      <c r="M88" s="124">
        <f t="shared" si="8"/>
        <v>59217668.7368788</v>
      </c>
    </row>
    <row r="89" s="80" customFormat="1" ht="12.75" spans="1:13">
      <c r="A89" s="80">
        <v>22</v>
      </c>
      <c r="B89" s="123">
        <f t="shared" si="10"/>
        <v>257846566.415055</v>
      </c>
      <c r="C89" s="123">
        <f t="shared" si="3"/>
        <v>31675412.483886</v>
      </c>
      <c r="D89" s="123">
        <f t="shared" si="11"/>
        <v>257846566.415055</v>
      </c>
      <c r="E89" s="123">
        <f t="shared" si="4"/>
        <v>31675412.483886</v>
      </c>
      <c r="F89" s="123">
        <f t="shared" si="12"/>
        <v>257846566.415055</v>
      </c>
      <c r="G89" s="123">
        <f t="shared" si="5"/>
        <v>31675412.483886</v>
      </c>
      <c r="H89" s="123">
        <f t="shared" si="13"/>
        <v>257846566.415055</v>
      </c>
      <c r="I89" s="123">
        <f t="shared" si="6"/>
        <v>31675412.483886</v>
      </c>
      <c r="J89" s="123">
        <f t="shared" si="14"/>
        <v>257846566.415055</v>
      </c>
      <c r="K89" s="123">
        <f t="shared" si="7"/>
        <v>31675412.483886</v>
      </c>
      <c r="L89" s="124">
        <f t="shared" si="15"/>
        <v>257846566.415055</v>
      </c>
      <c r="M89" s="124">
        <f t="shared" si="8"/>
        <v>31675412.483886</v>
      </c>
    </row>
    <row r="90" s="80" customFormat="1" ht="12.75" spans="1:13">
      <c r="A90" s="80">
        <v>23</v>
      </c>
      <c r="B90" s="123">
        <f t="shared" si="10"/>
        <v>405538250.601838</v>
      </c>
      <c r="C90" s="123">
        <f t="shared" si="3"/>
        <v>45289764.7423152</v>
      </c>
      <c r="D90" s="123">
        <f t="shared" si="11"/>
        <v>405538250.601838</v>
      </c>
      <c r="E90" s="123">
        <f t="shared" si="4"/>
        <v>45289764.7423152</v>
      </c>
      <c r="F90" s="123">
        <f t="shared" si="12"/>
        <v>405538250.601838</v>
      </c>
      <c r="G90" s="123">
        <f t="shared" si="5"/>
        <v>45289764.7423152</v>
      </c>
      <c r="H90" s="123">
        <f t="shared" si="13"/>
        <v>405538250.601838</v>
      </c>
      <c r="I90" s="123">
        <f t="shared" si="6"/>
        <v>45289764.7423152</v>
      </c>
      <c r="J90" s="123">
        <f t="shared" si="14"/>
        <v>405538250.601838</v>
      </c>
      <c r="K90" s="123">
        <f t="shared" si="7"/>
        <v>45289764.7423152</v>
      </c>
      <c r="L90" s="124">
        <f t="shared" si="15"/>
        <v>405538250.601838</v>
      </c>
      <c r="M90" s="124">
        <f t="shared" si="8"/>
        <v>45289764.7423152</v>
      </c>
    </row>
    <row r="91" s="80" customFormat="1" ht="12.75" spans="1:13">
      <c r="A91" s="80">
        <v>24</v>
      </c>
      <c r="B91" s="123">
        <f t="shared" si="10"/>
        <v>461540259.739711</v>
      </c>
      <c r="C91" s="123">
        <f t="shared" si="3"/>
        <v>46858150.8687359</v>
      </c>
      <c r="D91" s="123">
        <f t="shared" si="11"/>
        <v>461540259.739711</v>
      </c>
      <c r="E91" s="123">
        <f t="shared" si="4"/>
        <v>46858150.8687359</v>
      </c>
      <c r="F91" s="123">
        <f t="shared" si="12"/>
        <v>461540259.739711</v>
      </c>
      <c r="G91" s="123">
        <f t="shared" si="5"/>
        <v>46858150.8687359</v>
      </c>
      <c r="H91" s="123">
        <f t="shared" si="13"/>
        <v>461540259.739711</v>
      </c>
      <c r="I91" s="123">
        <f t="shared" si="6"/>
        <v>46858150.8687359</v>
      </c>
      <c r="J91" s="123">
        <f t="shared" si="14"/>
        <v>461540259.739711</v>
      </c>
      <c r="K91" s="123">
        <f t="shared" si="7"/>
        <v>46858150.8687359</v>
      </c>
      <c r="L91" s="124">
        <f t="shared" si="15"/>
        <v>461540259.739711</v>
      </c>
      <c r="M91" s="124">
        <f t="shared" si="8"/>
        <v>46858150.8687359</v>
      </c>
    </row>
    <row r="92" s="80" customFormat="1" ht="12.75" spans="1:13">
      <c r="A92" s="80">
        <v>25</v>
      </c>
      <c r="B92" s="123">
        <f t="shared" si="10"/>
        <v>471681495.518954</v>
      </c>
      <c r="C92" s="123">
        <f t="shared" si="3"/>
        <v>43534314.4505723</v>
      </c>
      <c r="D92" s="123">
        <f t="shared" si="11"/>
        <v>471681495.518954</v>
      </c>
      <c r="E92" s="123">
        <f t="shared" si="4"/>
        <v>43534314.4505723</v>
      </c>
      <c r="F92" s="123">
        <f t="shared" si="12"/>
        <v>471681495.518954</v>
      </c>
      <c r="G92" s="123">
        <f t="shared" si="5"/>
        <v>43534314.4505723</v>
      </c>
      <c r="H92" s="123">
        <f t="shared" si="13"/>
        <v>471681495.518954</v>
      </c>
      <c r="I92" s="123">
        <f t="shared" si="6"/>
        <v>43534314.4505723</v>
      </c>
      <c r="J92" s="123">
        <f t="shared" si="14"/>
        <v>471681495.518954</v>
      </c>
      <c r="K92" s="123">
        <f t="shared" si="7"/>
        <v>43534314.4505723</v>
      </c>
      <c r="L92" s="124">
        <f t="shared" si="15"/>
        <v>471681495.518954</v>
      </c>
      <c r="M92" s="124">
        <f t="shared" si="8"/>
        <v>43534314.4505723</v>
      </c>
    </row>
    <row r="93" s="80" customFormat="1" ht="12.75" spans="1:13">
      <c r="A93" s="80">
        <v>26</v>
      </c>
      <c r="B93" s="123">
        <f t="shared" si="10"/>
        <v>466123584.161168</v>
      </c>
      <c r="C93" s="123">
        <f t="shared" si="3"/>
        <v>39110310.4309325</v>
      </c>
      <c r="D93" s="123">
        <f t="shared" si="11"/>
        <v>466123584.161168</v>
      </c>
      <c r="E93" s="123">
        <f t="shared" si="4"/>
        <v>39110310.4309325</v>
      </c>
      <c r="F93" s="123">
        <f t="shared" si="12"/>
        <v>466123584.161168</v>
      </c>
      <c r="G93" s="123">
        <f t="shared" si="5"/>
        <v>39110310.4309325</v>
      </c>
      <c r="H93" s="123">
        <f t="shared" si="13"/>
        <v>466123584.161168</v>
      </c>
      <c r="I93" s="123">
        <f t="shared" si="6"/>
        <v>39110310.4309325</v>
      </c>
      <c r="J93" s="123">
        <f t="shared" si="14"/>
        <v>466123584.161168</v>
      </c>
      <c r="K93" s="123">
        <f t="shared" si="7"/>
        <v>39110310.4309325</v>
      </c>
      <c r="L93" s="124">
        <f t="shared" si="15"/>
        <v>466123584.161168</v>
      </c>
      <c r="M93" s="124">
        <f t="shared" si="8"/>
        <v>39110310.4309325</v>
      </c>
    </row>
    <row r="94" s="80" customFormat="1" ht="12.75" spans="1:13">
      <c r="A94" s="80">
        <v>27</v>
      </c>
      <c r="B94" s="123">
        <f t="shared" si="10"/>
        <v>488625404.76905</v>
      </c>
      <c r="C94" s="123">
        <f t="shared" si="3"/>
        <v>37271214.4362243</v>
      </c>
      <c r="D94" s="123">
        <f t="shared" si="11"/>
        <v>488625404.76905</v>
      </c>
      <c r="E94" s="123">
        <f t="shared" si="4"/>
        <v>37271214.4362243</v>
      </c>
      <c r="F94" s="123">
        <f t="shared" si="12"/>
        <v>488625404.76905</v>
      </c>
      <c r="G94" s="123">
        <f t="shared" si="5"/>
        <v>37271214.4362243</v>
      </c>
      <c r="H94" s="123">
        <f t="shared" si="13"/>
        <v>488625404.76905</v>
      </c>
      <c r="I94" s="123">
        <f t="shared" si="6"/>
        <v>37271214.4362243</v>
      </c>
      <c r="J94" s="123">
        <f t="shared" si="14"/>
        <v>488625404.76905</v>
      </c>
      <c r="K94" s="123">
        <f t="shared" si="7"/>
        <v>37271214.4362243</v>
      </c>
      <c r="L94" s="124">
        <f t="shared" si="15"/>
        <v>488625404.76905</v>
      </c>
      <c r="M94" s="124">
        <f t="shared" si="8"/>
        <v>37271214.4362243</v>
      </c>
    </row>
    <row r="95" s="80" customFormat="1" ht="12.75" spans="1:13">
      <c r="A95" s="80">
        <v>28</v>
      </c>
      <c r="B95" s="123">
        <f t="shared" si="10"/>
        <v>495441313.634568</v>
      </c>
      <c r="C95" s="123">
        <f t="shared" si="3"/>
        <v>34355560.165333</v>
      </c>
      <c r="D95" s="123">
        <f t="shared" si="11"/>
        <v>495441313.634568</v>
      </c>
      <c r="E95" s="123">
        <f t="shared" si="4"/>
        <v>34355560.165333</v>
      </c>
      <c r="F95" s="123">
        <f t="shared" si="12"/>
        <v>495441313.634568</v>
      </c>
      <c r="G95" s="123">
        <f t="shared" si="5"/>
        <v>34355560.165333</v>
      </c>
      <c r="H95" s="123">
        <f t="shared" si="13"/>
        <v>495441313.634568</v>
      </c>
      <c r="I95" s="123">
        <f t="shared" si="6"/>
        <v>34355560.165333</v>
      </c>
      <c r="J95" s="123">
        <f t="shared" si="14"/>
        <v>495441313.634568</v>
      </c>
      <c r="K95" s="123">
        <f t="shared" si="7"/>
        <v>34355560.165333</v>
      </c>
      <c r="L95" s="124">
        <f t="shared" si="15"/>
        <v>495441313.634568</v>
      </c>
      <c r="M95" s="124">
        <f t="shared" si="8"/>
        <v>34355560.165333</v>
      </c>
    </row>
    <row r="96" s="80" customFormat="1" ht="12.75" spans="1:13">
      <c r="A96" s="80">
        <v>29</v>
      </c>
      <c r="B96" s="123">
        <f t="shared" si="10"/>
        <v>505816691.544694</v>
      </c>
      <c r="C96" s="123">
        <f t="shared" si="3"/>
        <v>31886385.1108105</v>
      </c>
      <c r="D96" s="123">
        <f t="shared" si="11"/>
        <v>505816691.544694</v>
      </c>
      <c r="E96" s="123">
        <f t="shared" si="4"/>
        <v>31886385.1108105</v>
      </c>
      <c r="F96" s="123">
        <f t="shared" si="12"/>
        <v>505816691.544694</v>
      </c>
      <c r="G96" s="123">
        <f t="shared" si="5"/>
        <v>31886385.1108105</v>
      </c>
      <c r="H96" s="123">
        <f t="shared" si="13"/>
        <v>505816691.544694</v>
      </c>
      <c r="I96" s="123">
        <f t="shared" si="6"/>
        <v>31886385.1108105</v>
      </c>
      <c r="J96" s="123">
        <f t="shared" si="14"/>
        <v>505816691.544694</v>
      </c>
      <c r="K96" s="123">
        <f t="shared" si="7"/>
        <v>31886385.1108105</v>
      </c>
      <c r="L96" s="124">
        <f t="shared" si="15"/>
        <v>505816691.544694</v>
      </c>
      <c r="M96" s="124">
        <f t="shared" si="8"/>
        <v>31886385.1108105</v>
      </c>
    </row>
    <row r="97" s="80" customFormat="1" ht="12.75" spans="1:13">
      <c r="A97" s="80">
        <v>30</v>
      </c>
      <c r="B97" s="123">
        <f t="shared" si="10"/>
        <v>351245109.26407</v>
      </c>
      <c r="C97" s="123">
        <f t="shared" si="3"/>
        <v>20129349.0660345</v>
      </c>
      <c r="D97" s="123">
        <f t="shared" si="11"/>
        <v>351245109.26407</v>
      </c>
      <c r="E97" s="123">
        <f t="shared" si="4"/>
        <v>20129349.0660345</v>
      </c>
      <c r="F97" s="123">
        <f t="shared" si="12"/>
        <v>351245109.26407</v>
      </c>
      <c r="G97" s="123">
        <f t="shared" si="5"/>
        <v>20129349.0660345</v>
      </c>
      <c r="H97" s="123">
        <f t="shared" si="13"/>
        <v>351245109.26407</v>
      </c>
      <c r="I97" s="123">
        <f t="shared" si="6"/>
        <v>20129349.0660345</v>
      </c>
      <c r="J97" s="123">
        <f t="shared" si="14"/>
        <v>351245109.26407</v>
      </c>
      <c r="K97" s="123">
        <f t="shared" si="7"/>
        <v>20129349.0660345</v>
      </c>
      <c r="L97" s="124">
        <f t="shared" si="15"/>
        <v>351245109.26407</v>
      </c>
      <c r="M97" s="124">
        <f t="shared" si="8"/>
        <v>20129349.0660345</v>
      </c>
    </row>
    <row r="98" s="80" customFormat="1" ht="12.75" spans="1:13">
      <c r="A98" s="80">
        <v>31</v>
      </c>
      <c r="B98" s="123">
        <f t="shared" si="10"/>
        <v>523213423.684696</v>
      </c>
      <c r="C98" s="123">
        <f t="shared" si="3"/>
        <v>27258731.2537463</v>
      </c>
      <c r="D98" s="123">
        <f t="shared" si="11"/>
        <v>523213423.684696</v>
      </c>
      <c r="E98" s="123">
        <f t="shared" si="4"/>
        <v>27258731.2537463</v>
      </c>
      <c r="F98" s="123">
        <f t="shared" si="12"/>
        <v>523213423.684696</v>
      </c>
      <c r="G98" s="123">
        <f t="shared" si="5"/>
        <v>27258731.2537463</v>
      </c>
      <c r="H98" s="123">
        <f t="shared" si="13"/>
        <v>523213423.684696</v>
      </c>
      <c r="I98" s="123">
        <f t="shared" si="6"/>
        <v>27258731.2537463</v>
      </c>
      <c r="J98" s="123">
        <f t="shared" si="14"/>
        <v>523213423.684696</v>
      </c>
      <c r="K98" s="123">
        <f t="shared" si="7"/>
        <v>27258731.2537463</v>
      </c>
      <c r="L98" s="124">
        <f t="shared" si="15"/>
        <v>523213423.684696</v>
      </c>
      <c r="M98" s="124">
        <f t="shared" si="8"/>
        <v>27258731.2537463</v>
      </c>
    </row>
    <row r="99" s="80" customFormat="1" ht="12.75" spans="1:13">
      <c r="A99" s="80">
        <v>32</v>
      </c>
      <c r="B99" s="123">
        <f t="shared" si="10"/>
        <v>530228624.301473</v>
      </c>
      <c r="C99" s="123">
        <f t="shared" si="3"/>
        <v>25112921.7996578</v>
      </c>
      <c r="D99" s="123">
        <f t="shared" si="11"/>
        <v>530228624.301473</v>
      </c>
      <c r="E99" s="123">
        <f t="shared" si="4"/>
        <v>25112921.7996578</v>
      </c>
      <c r="F99" s="123">
        <f t="shared" si="12"/>
        <v>530228624.301473</v>
      </c>
      <c r="G99" s="123">
        <f t="shared" si="5"/>
        <v>25112921.7996578</v>
      </c>
      <c r="H99" s="123">
        <f t="shared" si="13"/>
        <v>530228624.301473</v>
      </c>
      <c r="I99" s="123">
        <f t="shared" si="6"/>
        <v>25112921.7996578</v>
      </c>
      <c r="J99" s="123">
        <f t="shared" si="14"/>
        <v>530228624.301473</v>
      </c>
      <c r="K99" s="123">
        <f t="shared" si="7"/>
        <v>25112921.7996578</v>
      </c>
      <c r="L99" s="124">
        <f t="shared" si="15"/>
        <v>530228624.301473</v>
      </c>
      <c r="M99" s="124">
        <f t="shared" si="8"/>
        <v>25112921.7996578</v>
      </c>
    </row>
    <row r="100" s="80" customFormat="1" ht="12.75" spans="1:13">
      <c r="A100" s="80">
        <v>33</v>
      </c>
      <c r="B100" s="123">
        <f t="shared" si="10"/>
        <v>491398849.065006</v>
      </c>
      <c r="C100" s="123">
        <f t="shared" si="3"/>
        <v>21158044.42808</v>
      </c>
      <c r="D100" s="123">
        <f t="shared" si="11"/>
        <v>491398849.065006</v>
      </c>
      <c r="E100" s="123">
        <f t="shared" si="4"/>
        <v>21158044.42808</v>
      </c>
      <c r="F100" s="123">
        <f t="shared" si="12"/>
        <v>491398849.065006</v>
      </c>
      <c r="G100" s="123">
        <f t="shared" si="5"/>
        <v>21158044.42808</v>
      </c>
      <c r="H100" s="123">
        <f t="shared" si="13"/>
        <v>491398849.065006</v>
      </c>
      <c r="I100" s="123">
        <f t="shared" si="6"/>
        <v>21158044.42808</v>
      </c>
      <c r="J100" s="123">
        <f t="shared" si="14"/>
        <v>491398849.065006</v>
      </c>
      <c r="K100" s="123">
        <f t="shared" si="7"/>
        <v>21158044.42808</v>
      </c>
      <c r="L100" s="124">
        <f t="shared" si="15"/>
        <v>491398849.065006</v>
      </c>
      <c r="M100" s="124">
        <f t="shared" si="8"/>
        <v>21158044.42808</v>
      </c>
    </row>
    <row r="101" s="80" customFormat="1" ht="12.75" spans="1:13">
      <c r="A101" s="80">
        <v>34</v>
      </c>
      <c r="B101" s="123">
        <f t="shared" si="10"/>
        <v>535670767.831582</v>
      </c>
      <c r="C101" s="123">
        <f t="shared" si="3"/>
        <v>20967500.000105</v>
      </c>
      <c r="D101" s="123">
        <f t="shared" si="11"/>
        <v>535670767.831582</v>
      </c>
      <c r="E101" s="123">
        <f t="shared" si="4"/>
        <v>20967500.000105</v>
      </c>
      <c r="F101" s="123">
        <f t="shared" si="12"/>
        <v>535670767.831582</v>
      </c>
      <c r="G101" s="123">
        <f t="shared" si="5"/>
        <v>20967500.000105</v>
      </c>
      <c r="H101" s="123">
        <f t="shared" si="13"/>
        <v>535670767.831582</v>
      </c>
      <c r="I101" s="123">
        <f t="shared" si="6"/>
        <v>20967500.000105</v>
      </c>
      <c r="J101" s="123">
        <f t="shared" si="14"/>
        <v>535670767.831582</v>
      </c>
      <c r="K101" s="123">
        <f t="shared" si="7"/>
        <v>20967500.000105</v>
      </c>
      <c r="L101" s="124">
        <f t="shared" si="15"/>
        <v>535670767.831582</v>
      </c>
      <c r="M101" s="124">
        <f t="shared" si="8"/>
        <v>20967500.000105</v>
      </c>
    </row>
    <row r="102" s="80" customFormat="1" ht="12.75" spans="1:13">
      <c r="A102" s="80">
        <v>35</v>
      </c>
      <c r="B102" s="123">
        <f t="shared" si="10"/>
        <v>558629375.29683</v>
      </c>
      <c r="C102" s="123">
        <f t="shared" si="3"/>
        <v>19878325.0832323</v>
      </c>
      <c r="D102" s="123">
        <f t="shared" si="11"/>
        <v>558629375.29683</v>
      </c>
      <c r="E102" s="123">
        <f t="shared" si="4"/>
        <v>19878325.0832323</v>
      </c>
      <c r="F102" s="123">
        <f t="shared" si="12"/>
        <v>558629375.29683</v>
      </c>
      <c r="G102" s="123">
        <f t="shared" si="5"/>
        <v>19878325.0832323</v>
      </c>
      <c r="H102" s="123">
        <f t="shared" si="13"/>
        <v>558629375.29683</v>
      </c>
      <c r="I102" s="123">
        <f t="shared" si="6"/>
        <v>19878325.0832323</v>
      </c>
      <c r="J102" s="123">
        <f t="shared" si="14"/>
        <v>558629375.29683</v>
      </c>
      <c r="K102" s="123">
        <f t="shared" si="7"/>
        <v>19878325.0832323</v>
      </c>
      <c r="L102" s="124">
        <f t="shared" si="15"/>
        <v>558629375.29683</v>
      </c>
      <c r="M102" s="124">
        <f t="shared" si="8"/>
        <v>19878325.0832323</v>
      </c>
    </row>
    <row r="103" s="80" customFormat="1" ht="12.75" spans="1:13">
      <c r="A103" s="80">
        <v>36</v>
      </c>
      <c r="B103" s="123">
        <f t="shared" si="10"/>
        <v>567691510.772178</v>
      </c>
      <c r="C103" s="123">
        <f t="shared" si="3"/>
        <v>18364357.3118329</v>
      </c>
      <c r="D103" s="123">
        <f t="shared" si="11"/>
        <v>567691510.772178</v>
      </c>
      <c r="E103" s="123">
        <f t="shared" si="4"/>
        <v>18364357.3118329</v>
      </c>
      <c r="F103" s="123">
        <f t="shared" si="12"/>
        <v>567691510.772178</v>
      </c>
      <c r="G103" s="123">
        <f t="shared" si="5"/>
        <v>18364357.3118329</v>
      </c>
      <c r="H103" s="123">
        <f t="shared" si="13"/>
        <v>567691510.772178</v>
      </c>
      <c r="I103" s="123">
        <f t="shared" si="6"/>
        <v>18364357.3118329</v>
      </c>
      <c r="J103" s="123">
        <f t="shared" si="14"/>
        <v>567691510.772178</v>
      </c>
      <c r="K103" s="123">
        <f t="shared" si="7"/>
        <v>18364357.3118329</v>
      </c>
      <c r="L103" s="124">
        <f t="shared" si="15"/>
        <v>567691510.772178</v>
      </c>
      <c r="M103" s="124">
        <f t="shared" si="8"/>
        <v>18364357.3118329</v>
      </c>
    </row>
    <row r="104" s="80" customFormat="1" ht="12.75" spans="1:13">
      <c r="A104" s="80">
        <v>37</v>
      </c>
      <c r="B104" s="123">
        <f t="shared" si="10"/>
        <v>576877484.216945</v>
      </c>
      <c r="C104" s="123">
        <f t="shared" si="3"/>
        <v>16965014.5998567</v>
      </c>
      <c r="D104" s="123">
        <f t="shared" si="11"/>
        <v>576877484.216945</v>
      </c>
      <c r="E104" s="123">
        <f t="shared" si="4"/>
        <v>16965014.5998567</v>
      </c>
      <c r="F104" s="123">
        <f t="shared" si="12"/>
        <v>576877484.216945</v>
      </c>
      <c r="G104" s="123">
        <f t="shared" si="5"/>
        <v>16965014.5998567</v>
      </c>
      <c r="H104" s="123">
        <f t="shared" si="13"/>
        <v>576877484.216945</v>
      </c>
      <c r="I104" s="123">
        <f t="shared" si="6"/>
        <v>16965014.5998567</v>
      </c>
      <c r="J104" s="123">
        <f t="shared" si="14"/>
        <v>576877484.216945</v>
      </c>
      <c r="K104" s="123">
        <f t="shared" si="7"/>
        <v>16965014.5998567</v>
      </c>
      <c r="L104" s="124">
        <f t="shared" si="15"/>
        <v>576877484.216945</v>
      </c>
      <c r="M104" s="124">
        <f t="shared" si="8"/>
        <v>16965014.5998567</v>
      </c>
    </row>
    <row r="105" s="80" customFormat="1" ht="12.75" spans="1:13">
      <c r="A105" s="80">
        <v>38</v>
      </c>
      <c r="B105" s="123">
        <f t="shared" si="10"/>
        <v>584459400.129769</v>
      </c>
      <c r="C105" s="123">
        <f t="shared" si="3"/>
        <v>15625442.0290175</v>
      </c>
      <c r="D105" s="123">
        <f t="shared" si="11"/>
        <v>584459400.129769</v>
      </c>
      <c r="E105" s="123">
        <f t="shared" si="4"/>
        <v>15625442.0290175</v>
      </c>
      <c r="F105" s="123">
        <f t="shared" si="12"/>
        <v>584459400.129769</v>
      </c>
      <c r="G105" s="123">
        <f t="shared" si="5"/>
        <v>15625442.0290175</v>
      </c>
      <c r="H105" s="123">
        <f t="shared" si="13"/>
        <v>584459400.129769</v>
      </c>
      <c r="I105" s="123">
        <f t="shared" si="6"/>
        <v>15625442.0290175</v>
      </c>
      <c r="J105" s="123">
        <f t="shared" si="14"/>
        <v>584459400.129769</v>
      </c>
      <c r="K105" s="123">
        <f t="shared" si="7"/>
        <v>15625442.0290175</v>
      </c>
      <c r="L105" s="124">
        <f t="shared" si="15"/>
        <v>584459400.129769</v>
      </c>
      <c r="M105" s="124">
        <f t="shared" si="8"/>
        <v>15625442.0290175</v>
      </c>
    </row>
    <row r="106" s="80" customFormat="1" ht="12.75" spans="1:13">
      <c r="A106" s="80">
        <v>39</v>
      </c>
      <c r="B106" s="123">
        <f t="shared" si="10"/>
        <v>595710269.12407</v>
      </c>
      <c r="C106" s="123">
        <f t="shared" si="3"/>
        <v>14478393.1553933</v>
      </c>
      <c r="D106" s="123">
        <f t="shared" si="11"/>
        <v>595710269.12407</v>
      </c>
      <c r="E106" s="123">
        <f t="shared" si="4"/>
        <v>14478393.1553933</v>
      </c>
      <c r="F106" s="123">
        <f t="shared" si="12"/>
        <v>595710269.12407</v>
      </c>
      <c r="G106" s="123">
        <f t="shared" si="5"/>
        <v>14478393.1553933</v>
      </c>
      <c r="H106" s="123">
        <f t="shared" si="13"/>
        <v>595710269.12407</v>
      </c>
      <c r="I106" s="123">
        <f t="shared" si="6"/>
        <v>14478393.1553933</v>
      </c>
      <c r="J106" s="123">
        <f t="shared" si="14"/>
        <v>595710269.12407</v>
      </c>
      <c r="K106" s="123">
        <f t="shared" si="7"/>
        <v>14478393.1553933</v>
      </c>
      <c r="L106" s="124">
        <f t="shared" si="15"/>
        <v>595710269.12407</v>
      </c>
      <c r="M106" s="124">
        <f t="shared" si="8"/>
        <v>14478393.1553933</v>
      </c>
    </row>
    <row r="107" s="80" customFormat="1" ht="12.75" spans="2:13">
      <c r="B107" s="123">
        <f>+C57-((D57*(1+$B$65))+E57+F57)</f>
        <v>-732387270.425366</v>
      </c>
      <c r="C107" s="124">
        <f>+SUM(C67:C106)</f>
        <v>2129409018.68124</v>
      </c>
      <c r="D107" s="125" t="s">
        <v>1043</v>
      </c>
      <c r="E107" s="124">
        <f>+SUM(E67:E106)</f>
        <v>1888798490.31278</v>
      </c>
      <c r="F107" s="125" t="s">
        <v>1043</v>
      </c>
      <c r="G107" s="124">
        <f>+SUM(G67:G106)</f>
        <v>1744432173.2917</v>
      </c>
      <c r="H107" s="125" t="s">
        <v>1043</v>
      </c>
      <c r="I107" s="124">
        <f>+SUM(I67:I106)</f>
        <v>1455699539.24954</v>
      </c>
      <c r="J107" s="125" t="s">
        <v>1043</v>
      </c>
      <c r="K107" s="124">
        <f>+SUM(K67:K106)</f>
        <v>1215089010.88108</v>
      </c>
      <c r="L107" s="125" t="s">
        <v>1043</v>
      </c>
      <c r="M107" s="124">
        <f>+SUM(M67:M106)</f>
        <v>68.9301081020385</v>
      </c>
    </row>
    <row r="108" s="80" customFormat="1" ht="12.75" spans="2:13">
      <c r="B108" s="123">
        <f>+C58-((D58*(1+$B$65))+E58+F58)</f>
        <v>0</v>
      </c>
      <c r="C108" s="126">
        <f>+IRR(B67:B106)</f>
        <v>0.345098448333682</v>
      </c>
      <c r="D108" s="125" t="s">
        <v>1044</v>
      </c>
      <c r="E108" s="126">
        <f>+IRR(D67:D106)</f>
        <v>0.264575716281617</v>
      </c>
      <c r="F108" s="125" t="s">
        <v>1044</v>
      </c>
      <c r="G108" s="126">
        <f>+IRR(F67:F106)</f>
        <v>0.233136094533539</v>
      </c>
      <c r="H108" s="125" t="s">
        <v>1044</v>
      </c>
      <c r="I108" s="126">
        <f>+IRR(H67:H106)</f>
        <v>0.18955192771005</v>
      </c>
      <c r="J108" s="125" t="s">
        <v>1044</v>
      </c>
      <c r="K108" s="126">
        <f>+IRR(J67:J106)</f>
        <v>0.16467147654221</v>
      </c>
      <c r="L108" s="125" t="s">
        <v>1044</v>
      </c>
      <c r="M108" s="132">
        <f>+IRR(L67:L106)</f>
        <v>0.100000002256644</v>
      </c>
    </row>
    <row r="109" s="80" customFormat="1" ht="12.75"/>
    <row r="110" s="80" customFormat="1" ht="12.75"/>
    <row r="111" s="80" customFormat="1" ht="12.75"/>
    <row r="112" s="80" customFormat="1" ht="12.75"/>
    <row r="113" s="80" customFormat="1" ht="12.75"/>
    <row r="114" s="80" customFormat="1" ht="12.75"/>
    <row r="115" s="80" customFormat="1" ht="12.75"/>
    <row r="116" s="80" customFormat="1" ht="12.75"/>
    <row r="117" s="80" customFormat="1" ht="12.75"/>
  </sheetData>
  <mergeCells count="10">
    <mergeCell ref="A2:Q2"/>
    <mergeCell ref="A4:Q4"/>
    <mergeCell ref="B64:M64"/>
    <mergeCell ref="O64:R64"/>
    <mergeCell ref="B65:C65"/>
    <mergeCell ref="D65:E65"/>
    <mergeCell ref="F65:G65"/>
    <mergeCell ref="H65:I65"/>
    <mergeCell ref="J65:K65"/>
    <mergeCell ref="L65:M65"/>
  </mergeCells>
  <pageMargins left="0.7" right="0.7" top="0.75" bottom="0.75" header="0.3" footer="0.3"/>
  <headerFooter/>
  <ignoredErrors>
    <ignoredError sqref="E69:E106 G69:G106 I69:I106 K69:K106" formula="1"/>
  </ignoredError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249977111117893"/>
  </sheetPr>
  <dimension ref="A2:AK105"/>
  <sheetViews>
    <sheetView zoomScale="90" zoomScaleNormal="90" topLeftCell="G32" workbookViewId="0">
      <selection activeCell="Q64" sqref="Q64:T70"/>
    </sheetView>
  </sheetViews>
  <sheetFormatPr defaultColWidth="11.552380952381" defaultRowHeight="11.25"/>
  <cols>
    <col min="1" max="1" width="18.552380952381" style="1" customWidth="1"/>
    <col min="2" max="2" width="18.4380952380952" style="1" customWidth="1"/>
    <col min="3" max="3" width="17.552380952381" style="1" customWidth="1"/>
    <col min="4" max="5" width="17.6666666666667" style="1" customWidth="1"/>
    <col min="6" max="6" width="17.552380952381" style="1" customWidth="1"/>
    <col min="7" max="7" width="18.4380952380952" style="1" customWidth="1"/>
    <col min="8" max="9" width="18.552380952381" style="1" customWidth="1"/>
    <col min="10" max="10" width="18.3333333333333" style="1" customWidth="1"/>
    <col min="11" max="11" width="17.552380952381" style="1" customWidth="1"/>
    <col min="12" max="12" width="18.552380952381" style="1" customWidth="1"/>
    <col min="13" max="14" width="18.3333333333333" style="1" customWidth="1"/>
    <col min="15" max="15" width="19.552380952381" style="1" customWidth="1"/>
    <col min="16" max="16" width="18.6666666666667" style="1" customWidth="1"/>
    <col min="17" max="17" width="16.6666666666667" style="1" customWidth="1"/>
    <col min="18" max="18" width="18.6666666666667" style="1" customWidth="1"/>
    <col min="19" max="19" width="25.3333333333333" style="1" customWidth="1"/>
    <col min="20" max="20" width="13" style="1" customWidth="1"/>
    <col min="21" max="21" width="14.4380952380952" style="1" customWidth="1"/>
    <col min="22" max="37" width="16.6666666666667" style="1" customWidth="1"/>
    <col min="38" max="16384" width="11.552380952381" style="1"/>
  </cols>
  <sheetData>
    <row r="2" customFormat="1" ht="21" customHeight="1" spans="1:17">
      <c r="A2" s="2" t="s">
        <v>0</v>
      </c>
      <c r="B2" s="2"/>
      <c r="C2" s="2"/>
      <c r="D2" s="2"/>
      <c r="E2" s="2"/>
      <c r="F2" s="2"/>
      <c r="G2" s="2"/>
      <c r="H2" s="2"/>
      <c r="I2" s="2"/>
      <c r="J2" s="2"/>
      <c r="K2" s="2"/>
      <c r="L2" s="2"/>
      <c r="M2" s="2"/>
      <c r="N2" s="2"/>
      <c r="O2" s="2"/>
      <c r="P2" s="2"/>
      <c r="Q2" s="2"/>
    </row>
    <row r="3" customFormat="1" ht="15" spans="2:8">
      <c r="B3" s="3"/>
      <c r="C3" s="3"/>
      <c r="D3" s="4"/>
      <c r="E3" s="4"/>
      <c r="F3" s="5"/>
      <c r="G3" s="5"/>
      <c r="H3" s="5"/>
    </row>
    <row r="4" customFormat="1" ht="15" spans="1:17">
      <c r="A4" s="6" t="s">
        <v>1046</v>
      </c>
      <c r="B4" s="6"/>
      <c r="C4" s="6"/>
      <c r="D4" s="6"/>
      <c r="E4" s="6"/>
      <c r="F4" s="6"/>
      <c r="G4" s="6"/>
      <c r="H4" s="6"/>
      <c r="I4" s="6"/>
      <c r="J4" s="6"/>
      <c r="K4" s="6"/>
      <c r="L4" s="6"/>
      <c r="M4" s="6"/>
      <c r="N4" s="6"/>
      <c r="O4" s="6"/>
      <c r="P4" s="6"/>
      <c r="Q4" s="6"/>
    </row>
    <row r="6" spans="1:37">
      <c r="A6" s="7" t="s">
        <v>1025</v>
      </c>
      <c r="B6" s="8">
        <v>2024</v>
      </c>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54"/>
    </row>
    <row r="7" ht="22.5" spans="1:37">
      <c r="A7" s="7" t="s">
        <v>5</v>
      </c>
      <c r="B7" s="10">
        <v>0.1</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54"/>
    </row>
    <row r="8" ht="22.5" spans="1:37">
      <c r="A8" s="7" t="s">
        <v>1047</v>
      </c>
      <c r="B8" s="12">
        <f>+D15+D16+D17</f>
        <v>1220645450.70894</v>
      </c>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54"/>
    </row>
    <row r="9" spans="1:37">
      <c r="A9" s="7" t="s">
        <v>1027</v>
      </c>
      <c r="B9" s="8">
        <v>2</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54"/>
    </row>
    <row r="10" spans="1:37">
      <c r="A10" s="7" t="s">
        <v>1028</v>
      </c>
      <c r="B10" s="8">
        <f>+COUNT(C17:C54)</f>
        <v>38</v>
      </c>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54"/>
    </row>
    <row r="11" ht="33.75" spans="1:37">
      <c r="A11" s="13" t="s">
        <v>1055</v>
      </c>
      <c r="B11" s="14">
        <f>+Q70</f>
        <v>1.143925</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54"/>
    </row>
    <row r="12" spans="1:19">
      <c r="A12" s="11"/>
      <c r="B12" s="15"/>
      <c r="C12" s="15"/>
      <c r="D12" s="15"/>
      <c r="E12" s="15"/>
      <c r="F12" s="15"/>
      <c r="G12" s="11"/>
      <c r="H12" s="11"/>
      <c r="I12" s="11"/>
      <c r="J12" s="11"/>
      <c r="K12" s="11"/>
      <c r="L12" s="11"/>
      <c r="M12" s="15"/>
      <c r="N12" s="15"/>
      <c r="O12" s="11"/>
      <c r="P12" s="11"/>
      <c r="Q12" s="11"/>
      <c r="R12" s="11"/>
      <c r="S12" s="11"/>
    </row>
    <row r="13" spans="1:19">
      <c r="A13" s="11"/>
      <c r="B13" s="11"/>
      <c r="C13" s="11"/>
      <c r="D13" s="11"/>
      <c r="E13" s="11"/>
      <c r="F13" s="11"/>
      <c r="G13" s="11"/>
      <c r="H13" s="11"/>
      <c r="I13" s="11"/>
      <c r="J13" s="11"/>
      <c r="K13" s="11"/>
      <c r="L13" s="11"/>
      <c r="M13" s="11"/>
      <c r="N13" s="11"/>
      <c r="O13" s="11"/>
      <c r="P13" s="11"/>
      <c r="Q13" s="11"/>
      <c r="R13" s="11"/>
      <c r="S13" s="11"/>
    </row>
    <row r="14" ht="55.95" customHeight="1" spans="1:12">
      <c r="A14" s="16" t="s">
        <v>1030</v>
      </c>
      <c r="B14" s="16" t="s">
        <v>200</v>
      </c>
      <c r="C14" s="17" t="s">
        <v>1049</v>
      </c>
      <c r="D14" s="18" t="s">
        <v>1036</v>
      </c>
      <c r="E14" s="18" t="s">
        <v>1037</v>
      </c>
      <c r="F14" s="18" t="s">
        <v>1038</v>
      </c>
      <c r="G14" s="18" t="s">
        <v>1039</v>
      </c>
      <c r="H14" s="19" t="s">
        <v>1040</v>
      </c>
      <c r="I14" s="19" t="s">
        <v>1041</v>
      </c>
      <c r="K14" s="34"/>
      <c r="L14" s="11"/>
    </row>
    <row r="15" spans="1:12">
      <c r="A15" s="20">
        <v>0</v>
      </c>
      <c r="B15" s="20">
        <v>2024</v>
      </c>
      <c r="C15" s="61">
        <f>+'X. Evaluacion Social'!I17</f>
        <v>0</v>
      </c>
      <c r="D15" s="61">
        <f>+'X. Evaluacion Social'!J17</f>
        <v>64081222.7394439</v>
      </c>
      <c r="E15" s="61">
        <f>+'X. Evaluacion Social'!K17</f>
        <v>53343536.5570275</v>
      </c>
      <c r="F15" s="61">
        <f>+'X. Evaluacion Social'!L17</f>
        <v>0</v>
      </c>
      <c r="G15" s="61">
        <f>+SUM(D15:F15)</f>
        <v>117424759.296471</v>
      </c>
      <c r="H15" s="62">
        <f>+C15-G15</f>
        <v>-117424759.296471</v>
      </c>
      <c r="I15" s="61">
        <f>+'[2]X. Evaluacion Social'!O18</f>
        <v>-1131714440.1695</v>
      </c>
      <c r="K15" s="36"/>
      <c r="L15" s="11"/>
    </row>
    <row r="16" spans="1:12">
      <c r="A16" s="20">
        <f t="shared" ref="A16:B31" si="0">A15+1</f>
        <v>1</v>
      </c>
      <c r="B16" s="20">
        <f t="shared" si="0"/>
        <v>2025</v>
      </c>
      <c r="C16" s="61">
        <f>+'X. Evaluacion Social'!I18</f>
        <v>0</v>
      </c>
      <c r="D16" s="61">
        <f>+'X. Evaluacion Social'!J18</f>
        <v>988196979.807846</v>
      </c>
      <c r="E16" s="61">
        <f>+'X. Evaluacion Social'!K18</f>
        <v>53343536.5570275</v>
      </c>
      <c r="F16" s="61">
        <f>+'X. Evaluacion Social'!L18</f>
        <v>0</v>
      </c>
      <c r="G16" s="61">
        <f t="shared" ref="G16:G54" si="1">+SUM(D16:F16)</f>
        <v>1041540516.36487</v>
      </c>
      <c r="H16" s="62">
        <f t="shared" ref="H16:H54" si="2">+C16-G16</f>
        <v>-1041540516.36487</v>
      </c>
      <c r="I16" s="61">
        <f>+'[2]X. Evaluacion Social'!O19</f>
        <v>225851143.54582</v>
      </c>
      <c r="K16" s="36"/>
      <c r="L16" s="11"/>
    </row>
    <row r="17" spans="1:12">
      <c r="A17" s="20">
        <f t="shared" si="0"/>
        <v>2</v>
      </c>
      <c r="B17" s="20">
        <f t="shared" si="0"/>
        <v>2026</v>
      </c>
      <c r="C17" s="61">
        <f>+'X. Evaluacion Social'!I19</f>
        <v>410461853.210814</v>
      </c>
      <c r="D17" s="61">
        <f>+'X. Evaluacion Social'!J19</f>
        <v>168367248.161654</v>
      </c>
      <c r="E17" s="61">
        <f>+'X. Evaluacion Social'!K19</f>
        <v>150467875.448339</v>
      </c>
      <c r="F17" s="61">
        <f>+'X. Evaluacion Social'!L19</f>
        <v>0</v>
      </c>
      <c r="G17" s="61">
        <f t="shared" si="1"/>
        <v>318835123.609994</v>
      </c>
      <c r="H17" s="62">
        <f t="shared" si="2"/>
        <v>91626729.6008202</v>
      </c>
      <c r="I17" s="61">
        <f>+'[2]X. Evaluacion Social'!O20</f>
        <v>313234508.370391</v>
      </c>
      <c r="K17" s="36"/>
      <c r="L17" s="11"/>
    </row>
    <row r="18" spans="1:12">
      <c r="A18" s="20">
        <f t="shared" si="0"/>
        <v>3</v>
      </c>
      <c r="B18" s="20">
        <f t="shared" si="0"/>
        <v>2027</v>
      </c>
      <c r="C18" s="61">
        <f>+'X. Evaluacion Social'!I20</f>
        <v>422286525.049496</v>
      </c>
      <c r="D18" s="61">
        <f>+'X. Evaluacion Social'!J20</f>
        <v>0</v>
      </c>
      <c r="E18" s="61">
        <f>+'X. Evaluacion Social'!K20</f>
        <v>151272317.370145</v>
      </c>
      <c r="F18" s="61">
        <f>+'X. Evaluacion Social'!L20</f>
        <v>0</v>
      </c>
      <c r="G18" s="61">
        <f t="shared" si="1"/>
        <v>151272317.370145</v>
      </c>
      <c r="H18" s="61">
        <f t="shared" si="2"/>
        <v>271014207.679351</v>
      </c>
      <c r="I18" s="61">
        <f>+'[2]X. Evaluacion Social'!O21</f>
        <v>336555721.374354</v>
      </c>
      <c r="K18" s="36"/>
      <c r="L18" s="11"/>
    </row>
    <row r="19" spans="1:12">
      <c r="A19" s="20">
        <f t="shared" si="0"/>
        <v>4</v>
      </c>
      <c r="B19" s="20">
        <f t="shared" si="0"/>
        <v>2028</v>
      </c>
      <c r="C19" s="61">
        <f>+'X. Evaluacion Social'!I21</f>
        <v>433585713.314015</v>
      </c>
      <c r="D19" s="61">
        <f>+'X. Evaluacion Social'!J21</f>
        <v>0</v>
      </c>
      <c r="E19" s="61">
        <f>+'X. Evaluacion Social'!K21</f>
        <v>152027407.026809</v>
      </c>
      <c r="F19" s="61">
        <f>+'X. Evaluacion Social'!L21</f>
        <v>0</v>
      </c>
      <c r="G19" s="61">
        <f t="shared" si="1"/>
        <v>152027407.026809</v>
      </c>
      <c r="H19" s="61">
        <f t="shared" si="2"/>
        <v>281558306.287206</v>
      </c>
      <c r="I19" s="61">
        <f>+'[2]X. Evaluacion Social'!O22</f>
        <v>351803925.415744</v>
      </c>
      <c r="K19" s="36"/>
      <c r="L19" s="11"/>
    </row>
    <row r="20" spans="1:12">
      <c r="A20" s="20">
        <f t="shared" si="0"/>
        <v>5</v>
      </c>
      <c r="B20" s="20">
        <f t="shared" si="0"/>
        <v>2029</v>
      </c>
      <c r="C20" s="61">
        <f>+'X. Evaluacion Social'!I22</f>
        <v>444400494.692293</v>
      </c>
      <c r="D20" s="61">
        <f>+'X. Evaluacion Social'!J22</f>
        <v>0</v>
      </c>
      <c r="E20" s="61">
        <f>+'X. Evaluacion Social'!K22</f>
        <v>152737103.858615</v>
      </c>
      <c r="F20" s="61">
        <f>+'X. Evaluacion Social'!L22</f>
        <v>0</v>
      </c>
      <c r="G20" s="61">
        <f t="shared" si="1"/>
        <v>152737103.858615</v>
      </c>
      <c r="H20" s="61">
        <f t="shared" si="2"/>
        <v>291663390.833678</v>
      </c>
      <c r="I20" s="61">
        <f>+'[2]X. Evaluacion Social'!O23</f>
        <v>360494987.616244</v>
      </c>
      <c r="K20" s="36"/>
      <c r="L20" s="11"/>
    </row>
    <row r="21" spans="1:12">
      <c r="A21" s="20">
        <f t="shared" si="0"/>
        <v>6</v>
      </c>
      <c r="B21" s="20">
        <f t="shared" si="0"/>
        <v>2030</v>
      </c>
      <c r="C21" s="61">
        <f>+'X. Evaluacion Social'!I23</f>
        <v>454784038.252151</v>
      </c>
      <c r="D21" s="61">
        <f>+'X. Evaluacion Social'!J23</f>
        <v>0</v>
      </c>
      <c r="E21" s="61">
        <f>+'X. Evaluacion Social'!K23</f>
        <v>153408482.315736</v>
      </c>
      <c r="F21" s="61">
        <f>+'X. Evaluacion Social'!L23</f>
        <v>0</v>
      </c>
      <c r="G21" s="61">
        <f t="shared" si="1"/>
        <v>153408482.315736</v>
      </c>
      <c r="H21" s="61">
        <f t="shared" si="2"/>
        <v>301375555.936415</v>
      </c>
      <c r="I21" s="61">
        <f>+'[2]X. Evaluacion Social'!O24</f>
        <v>362796295.818417</v>
      </c>
      <c r="K21" s="36"/>
      <c r="L21" s="11"/>
    </row>
    <row r="22" spans="1:12">
      <c r="A22" s="20">
        <f t="shared" si="0"/>
        <v>7</v>
      </c>
      <c r="B22" s="20">
        <f t="shared" si="0"/>
        <v>2031</v>
      </c>
      <c r="C22" s="61">
        <f>+'X. Evaluacion Social'!I24</f>
        <v>465314453.468166</v>
      </c>
      <c r="D22" s="61">
        <f>+'X. Evaluacion Social'!J24</f>
        <v>0</v>
      </c>
      <c r="E22" s="61">
        <f>+'X. Evaluacion Social'!K24</f>
        <v>154048973.385625</v>
      </c>
      <c r="F22" s="61">
        <f>+'X. Evaluacion Social'!L24</f>
        <v>0</v>
      </c>
      <c r="G22" s="61">
        <f t="shared" si="1"/>
        <v>154048973.385625</v>
      </c>
      <c r="H22" s="61">
        <f t="shared" si="2"/>
        <v>311265480.08254</v>
      </c>
      <c r="I22" s="61">
        <f>+'[2]X. Evaluacion Social'!O25</f>
        <v>346643345.747117</v>
      </c>
      <c r="K22" s="36"/>
      <c r="L22" s="11"/>
    </row>
    <row r="23" spans="1:12">
      <c r="A23" s="20">
        <f t="shared" si="0"/>
        <v>8</v>
      </c>
      <c r="B23" s="20">
        <f t="shared" si="0"/>
        <v>2032</v>
      </c>
      <c r="C23" s="61">
        <f>+'X. Evaluacion Social'!I25</f>
        <v>475644616.573626</v>
      </c>
      <c r="D23" s="61">
        <f>+'X. Evaluacion Social'!J25</f>
        <v>0</v>
      </c>
      <c r="E23" s="61">
        <f>+'X. Evaluacion Social'!K25</f>
        <v>154665257.450939</v>
      </c>
      <c r="F23" s="61">
        <f>+'X. Evaluacion Social'!L25</f>
        <v>1750000</v>
      </c>
      <c r="G23" s="61">
        <f t="shared" si="1"/>
        <v>156415257.450939</v>
      </c>
      <c r="H23" s="61">
        <f t="shared" si="2"/>
        <v>319229359.122687</v>
      </c>
      <c r="I23" s="61">
        <f>+'[2]X. Evaluacion Social'!O26</f>
        <v>300852397.289671</v>
      </c>
      <c r="K23" s="36"/>
      <c r="L23" s="11"/>
    </row>
    <row r="24" spans="1:12">
      <c r="A24" s="20">
        <f t="shared" si="0"/>
        <v>9</v>
      </c>
      <c r="B24" s="20">
        <f t="shared" si="0"/>
        <v>2033</v>
      </c>
      <c r="C24" s="61">
        <f>+'X. Evaluacion Social'!I26</f>
        <v>485818204.90797</v>
      </c>
      <c r="D24" s="61">
        <f>+'X. Evaluacion Social'!J26</f>
        <v>0</v>
      </c>
      <c r="E24" s="61">
        <f>+'X. Evaluacion Social'!K26</f>
        <v>155263433.175621</v>
      </c>
      <c r="F24" s="61">
        <f>+'X. Evaluacion Social'!L26</f>
        <v>32378260</v>
      </c>
      <c r="G24" s="61">
        <f t="shared" si="1"/>
        <v>187641693.175621</v>
      </c>
      <c r="H24" s="61">
        <f t="shared" si="2"/>
        <v>298176511.732349</v>
      </c>
      <c r="I24" s="61">
        <f>+'[2]X. Evaluacion Social'!O27</f>
        <v>352902071.763088</v>
      </c>
      <c r="K24" s="36"/>
      <c r="L24" s="11"/>
    </row>
    <row r="25" spans="1:12">
      <c r="A25" s="20">
        <f t="shared" si="0"/>
        <v>10</v>
      </c>
      <c r="B25" s="20">
        <f t="shared" si="0"/>
        <v>2034</v>
      </c>
      <c r="C25" s="61">
        <f>+'X. Evaluacion Social'!I27</f>
        <v>495875446.480968</v>
      </c>
      <c r="D25" s="61">
        <f>+'X. Evaluacion Social'!J27</f>
        <v>0</v>
      </c>
      <c r="E25" s="61">
        <f>+'X. Evaluacion Social'!K27</f>
        <v>155849167.625858</v>
      </c>
      <c r="F25" s="61">
        <f>+'X. Evaluacion Social'!L27</f>
        <v>125491485</v>
      </c>
      <c r="G25" s="61">
        <f t="shared" si="1"/>
        <v>281340652.625858</v>
      </c>
      <c r="H25" s="61">
        <f t="shared" si="2"/>
        <v>214534793.85511</v>
      </c>
      <c r="I25" s="61">
        <f>+'[2]X. Evaluacion Social'!O28</f>
        <v>344368484.311281</v>
      </c>
      <c r="K25" s="36"/>
      <c r="L25" s="11"/>
    </row>
    <row r="26" spans="1:12">
      <c r="A26" s="20">
        <f t="shared" si="0"/>
        <v>11</v>
      </c>
      <c r="B26" s="20">
        <f t="shared" si="0"/>
        <v>2035</v>
      </c>
      <c r="C26" s="61">
        <f>+'X. Evaluacion Social'!I28</f>
        <v>505838550.026621</v>
      </c>
      <c r="D26" s="61">
        <f>+'X. Evaluacion Social'!J28</f>
        <v>0</v>
      </c>
      <c r="E26" s="61">
        <f>+'X. Evaluacion Social'!K28</f>
        <v>156424449.904353</v>
      </c>
      <c r="F26" s="61">
        <f>+'X. Evaluacion Social'!L28</f>
        <v>0</v>
      </c>
      <c r="G26" s="61">
        <f t="shared" si="1"/>
        <v>156424449.904353</v>
      </c>
      <c r="H26" s="61">
        <f t="shared" si="2"/>
        <v>349414100.122269</v>
      </c>
      <c r="I26" s="61">
        <f>+'[2]X. Evaluacion Social'!O29</f>
        <v>316970669.89848</v>
      </c>
      <c r="K26" s="36"/>
      <c r="L26" s="11"/>
    </row>
    <row r="27" spans="1:12">
      <c r="A27" s="20">
        <f t="shared" si="0"/>
        <v>12</v>
      </c>
      <c r="B27" s="20">
        <f t="shared" si="0"/>
        <v>2036</v>
      </c>
      <c r="C27" s="61">
        <f>+'X. Evaluacion Social'!I29</f>
        <v>515724412.158165</v>
      </c>
      <c r="D27" s="61">
        <f>+'X. Evaluacion Social'!J29</f>
        <v>0</v>
      </c>
      <c r="E27" s="61">
        <f>+'X. Evaluacion Social'!K29</f>
        <v>156990349.622935</v>
      </c>
      <c r="F27" s="61">
        <f>+'X. Evaluacion Social'!L29</f>
        <v>0</v>
      </c>
      <c r="G27" s="61">
        <f t="shared" si="1"/>
        <v>156990349.622935</v>
      </c>
      <c r="H27" s="61">
        <f t="shared" si="2"/>
        <v>358734062.53523</v>
      </c>
      <c r="I27" s="61">
        <f>+'[2]X. Evaluacion Social'!O30</f>
        <v>323050500.121782</v>
      </c>
      <c r="K27" s="36"/>
      <c r="L27" s="11"/>
    </row>
    <row r="28" spans="1:12">
      <c r="A28" s="20">
        <f t="shared" si="0"/>
        <v>13</v>
      </c>
      <c r="B28" s="20">
        <f t="shared" si="0"/>
        <v>2037</v>
      </c>
      <c r="C28" s="61">
        <f>+'X. Evaluacion Social'!I30</f>
        <v>525532279.255795</v>
      </c>
      <c r="D28" s="61">
        <f>+'X. Evaluacion Social'!J30</f>
        <v>0</v>
      </c>
      <c r="E28" s="61">
        <f>+'X. Evaluacion Social'!K30</f>
        <v>157544258.429948</v>
      </c>
      <c r="F28" s="61">
        <f>+'X. Evaluacion Social'!L30</f>
        <v>49394500</v>
      </c>
      <c r="G28" s="61">
        <f t="shared" si="1"/>
        <v>206938758.429948</v>
      </c>
      <c r="H28" s="61">
        <f t="shared" si="2"/>
        <v>318593520.825847</v>
      </c>
      <c r="I28" s="61">
        <f>+'[2]X. Evaluacion Social'!O31</f>
        <v>311004108.489646</v>
      </c>
      <c r="K28" s="36"/>
      <c r="L28" s="11"/>
    </row>
    <row r="29" spans="1:12">
      <c r="A29" s="20">
        <f t="shared" si="0"/>
        <v>14</v>
      </c>
      <c r="B29" s="20">
        <f t="shared" si="0"/>
        <v>2038</v>
      </c>
      <c r="C29" s="61">
        <f>+'X. Evaluacion Social'!I31</f>
        <v>535244343.213956</v>
      </c>
      <c r="D29" s="61">
        <f>+'X. Evaluacion Social'!J31</f>
        <v>0</v>
      </c>
      <c r="E29" s="61">
        <f>+'X. Evaluacion Social'!K31</f>
        <v>158079965.07073</v>
      </c>
      <c r="F29" s="61">
        <f>+'X. Evaluacion Social'!L31</f>
        <v>0</v>
      </c>
      <c r="G29" s="61">
        <f t="shared" si="1"/>
        <v>158079965.07073</v>
      </c>
      <c r="H29" s="61">
        <f t="shared" si="2"/>
        <v>377164378.143225</v>
      </c>
      <c r="I29" s="61">
        <f>+'[2]X. Evaluacion Social'!O32</f>
        <v>297957102.984508</v>
      </c>
      <c r="K29" s="36"/>
      <c r="L29" s="11"/>
    </row>
    <row r="30" spans="1:12">
      <c r="A30" s="20">
        <f t="shared" si="0"/>
        <v>15</v>
      </c>
      <c r="B30" s="20">
        <f t="shared" si="0"/>
        <v>2039</v>
      </c>
      <c r="C30" s="61">
        <f>+'X. Evaluacion Social'!I32</f>
        <v>544833787.549815</v>
      </c>
      <c r="D30" s="61">
        <f>+'X. Evaluacion Social'!J32</f>
        <v>0</v>
      </c>
      <c r="E30" s="61">
        <f>+'X. Evaluacion Social'!K32</f>
        <v>158589381.778637</v>
      </c>
      <c r="F30" s="61">
        <f>+'X. Evaluacion Social'!L32</f>
        <v>0</v>
      </c>
      <c r="G30" s="61">
        <f t="shared" si="1"/>
        <v>158589381.778637</v>
      </c>
      <c r="H30" s="61">
        <f t="shared" si="2"/>
        <v>386244405.771178</v>
      </c>
      <c r="I30" s="61">
        <f>+'[2]X. Evaluacion Social'!O33</f>
        <v>231009909.196247</v>
      </c>
      <c r="K30" s="36"/>
      <c r="L30" s="11"/>
    </row>
    <row r="31" spans="1:12">
      <c r="A31" s="20">
        <f t="shared" si="0"/>
        <v>16</v>
      </c>
      <c r="B31" s="20">
        <f t="shared" si="0"/>
        <v>2040</v>
      </c>
      <c r="C31" s="61">
        <f>+'X. Evaluacion Social'!I33</f>
        <v>554273164.789722</v>
      </c>
      <c r="D31" s="61">
        <f>+'X. Evaluacion Social'!J33</f>
        <v>0</v>
      </c>
      <c r="E31" s="61">
        <f>+'X. Evaluacion Social'!K33</f>
        <v>159064364.491664</v>
      </c>
      <c r="F31" s="61">
        <f>+'X. Evaluacion Social'!L33</f>
        <v>1750000</v>
      </c>
      <c r="G31" s="61">
        <f t="shared" si="1"/>
        <v>160814364.491664</v>
      </c>
      <c r="H31" s="61">
        <f t="shared" si="2"/>
        <v>393458800.298059</v>
      </c>
      <c r="I31" s="61">
        <f>+'[2]X. Evaluacion Social'!O34</f>
        <v>269052423.358456</v>
      </c>
      <c r="K31" s="36"/>
      <c r="L31" s="11"/>
    </row>
    <row r="32" spans="1:12">
      <c r="A32" s="20">
        <f t="shared" ref="A32:B47" si="3">A31+1</f>
        <v>17</v>
      </c>
      <c r="B32" s="20">
        <f t="shared" si="3"/>
        <v>2041</v>
      </c>
      <c r="C32" s="61">
        <f>+'X. Evaluacion Social'!I34</f>
        <v>563540716.241678</v>
      </c>
      <c r="D32" s="61">
        <f>+'X. Evaluacion Social'!J34</f>
        <v>0</v>
      </c>
      <c r="E32" s="61">
        <f>+'X. Evaluacion Social'!K34</f>
        <v>159497876.289876</v>
      </c>
      <c r="F32" s="61">
        <f>+'X. Evaluacion Social'!L34</f>
        <v>227685146</v>
      </c>
      <c r="G32" s="61">
        <f t="shared" si="1"/>
        <v>387183022.289876</v>
      </c>
      <c r="H32" s="61">
        <f t="shared" si="2"/>
        <v>176357693.951802</v>
      </c>
      <c r="I32" s="61">
        <f>+'[2]X. Evaluacion Social'!O35</f>
        <v>259457502.14969</v>
      </c>
      <c r="K32" s="36"/>
      <c r="L32" s="11"/>
    </row>
    <row r="33" spans="1:12">
      <c r="A33" s="20">
        <f t="shared" si="3"/>
        <v>18</v>
      </c>
      <c r="B33" s="20">
        <f t="shared" si="3"/>
        <v>2042</v>
      </c>
      <c r="C33" s="61">
        <f>+'X. Evaluacion Social'!I35</f>
        <v>572635663.683738</v>
      </c>
      <c r="D33" s="61">
        <f>+'X. Evaluacion Social'!J35</f>
        <v>0</v>
      </c>
      <c r="E33" s="61">
        <f>+'X. Evaluacion Social'!K35</f>
        <v>159887665.358894</v>
      </c>
      <c r="F33" s="61">
        <f>+'X. Evaluacion Social'!L35</f>
        <v>15750000</v>
      </c>
      <c r="G33" s="61">
        <f t="shared" si="1"/>
        <v>175637665.358894</v>
      </c>
      <c r="H33" s="61">
        <f t="shared" si="2"/>
        <v>396997998.324844</v>
      </c>
      <c r="I33" s="61">
        <f>+'[2]X. Evaluacion Social'!O36</f>
        <v>246566343.080824</v>
      </c>
      <c r="K33" s="36"/>
      <c r="L33" s="11"/>
    </row>
    <row r="34" spans="1:12">
      <c r="A34" s="20">
        <f t="shared" si="3"/>
        <v>19</v>
      </c>
      <c r="B34" s="20">
        <f t="shared" si="3"/>
        <v>2043</v>
      </c>
      <c r="C34" s="61">
        <f>+'X. Evaluacion Social'!I36</f>
        <v>581566101.06855</v>
      </c>
      <c r="D34" s="61">
        <f>+'X. Evaluacion Social'!J36</f>
        <v>0</v>
      </c>
      <c r="E34" s="61">
        <f>+'X. Evaluacion Social'!K36</f>
        <v>160233562.81264</v>
      </c>
      <c r="F34" s="61">
        <f>+'X. Evaluacion Social'!L36</f>
        <v>0</v>
      </c>
      <c r="G34" s="61">
        <f t="shared" si="1"/>
        <v>160233562.81264</v>
      </c>
      <c r="H34" s="61">
        <f t="shared" si="2"/>
        <v>421332538.25591</v>
      </c>
      <c r="I34" s="61">
        <f>+'[2]X. Evaluacion Social'!O37</f>
        <v>233899961.714034</v>
      </c>
      <c r="K34" s="36"/>
      <c r="L34" s="11"/>
    </row>
    <row r="35" spans="1:12">
      <c r="A35" s="20">
        <f t="shared" si="3"/>
        <v>20</v>
      </c>
      <c r="B35" s="20">
        <f t="shared" si="3"/>
        <v>2044</v>
      </c>
      <c r="C35" s="61">
        <f>+'X. Evaluacion Social'!I37</f>
        <v>590357955.510108</v>
      </c>
      <c r="D35" s="61">
        <f>+'X. Evaluacion Social'!J37</f>
        <v>0</v>
      </c>
      <c r="E35" s="61">
        <f>+'X. Evaluacion Social'!K37</f>
        <v>160539490.561157</v>
      </c>
      <c r="F35" s="61">
        <f>+'X. Evaluacion Social'!L37</f>
        <v>0</v>
      </c>
      <c r="G35" s="61">
        <f t="shared" si="1"/>
        <v>160539490.561157</v>
      </c>
      <c r="H35" s="61">
        <f t="shared" si="2"/>
        <v>429818464.948951</v>
      </c>
      <c r="I35" s="61">
        <f>+'[2]X. Evaluacion Social'!O38</f>
        <v>193475986.107117</v>
      </c>
      <c r="K35" s="36"/>
      <c r="L35" s="11"/>
    </row>
    <row r="36" spans="1:12">
      <c r="A36" s="20">
        <f t="shared" si="3"/>
        <v>21</v>
      </c>
      <c r="B36" s="20">
        <f t="shared" si="3"/>
        <v>2045</v>
      </c>
      <c r="C36" s="61">
        <f>+'X. Evaluacion Social'!I38</f>
        <v>599034507.451039</v>
      </c>
      <c r="D36" s="61">
        <f>+'X. Evaluacion Social'!J38</f>
        <v>0</v>
      </c>
      <c r="E36" s="61">
        <f>+'X. Evaluacion Social'!K38</f>
        <v>160808957.681853</v>
      </c>
      <c r="F36" s="61">
        <f>+'X. Evaluacion Social'!L38</f>
        <v>0</v>
      </c>
      <c r="G36" s="61">
        <f t="shared" si="1"/>
        <v>160808957.681853</v>
      </c>
      <c r="H36" s="61">
        <f t="shared" si="2"/>
        <v>438225549.769186</v>
      </c>
      <c r="I36" s="61">
        <f>+'[2]X. Evaluacion Social'!O39</f>
        <v>202840421.192616</v>
      </c>
      <c r="K36" s="36"/>
      <c r="L36" s="11"/>
    </row>
    <row r="37" spans="1:12">
      <c r="A37" s="20">
        <f t="shared" si="3"/>
        <v>22</v>
      </c>
      <c r="B37" s="20">
        <f t="shared" si="3"/>
        <v>2046</v>
      </c>
      <c r="C37" s="61">
        <f>+'X. Evaluacion Social'!I39</f>
        <v>607634269.353575</v>
      </c>
      <c r="D37" s="61">
        <f>+'X. Evaluacion Social'!J39</f>
        <v>0</v>
      </c>
      <c r="E37" s="61">
        <f>+'X. Evaluacion Social'!K39</f>
        <v>161047255.938519</v>
      </c>
      <c r="F37" s="61">
        <f>+'X. Evaluacion Social'!L39</f>
        <v>188740447</v>
      </c>
      <c r="G37" s="61">
        <f t="shared" si="1"/>
        <v>349787702.938519</v>
      </c>
      <c r="H37" s="61">
        <f t="shared" si="2"/>
        <v>257846566.415055</v>
      </c>
      <c r="I37" s="61">
        <f>+'[2]X. Evaluacion Social'!O40</f>
        <v>197679614.163336</v>
      </c>
      <c r="K37" s="36"/>
      <c r="L37" s="11"/>
    </row>
    <row r="38" spans="1:12">
      <c r="A38" s="20">
        <f t="shared" si="3"/>
        <v>23</v>
      </c>
      <c r="B38" s="20">
        <f t="shared" si="3"/>
        <v>2047</v>
      </c>
      <c r="C38" s="61">
        <f>+'X. Evaluacion Social'!I40</f>
        <v>616192333.871185</v>
      </c>
      <c r="D38" s="61">
        <f>+'X. Evaluacion Social'!J40</f>
        <v>0</v>
      </c>
      <c r="E38" s="61">
        <f>+'X. Evaluacion Social'!K40</f>
        <v>161259583.269346</v>
      </c>
      <c r="F38" s="61">
        <f>+'X. Evaluacion Social'!L40</f>
        <v>49394500</v>
      </c>
      <c r="G38" s="61">
        <f t="shared" si="1"/>
        <v>210654083.269346</v>
      </c>
      <c r="H38" s="61">
        <f t="shared" si="2"/>
        <v>405538250.601838</v>
      </c>
      <c r="I38" s="61">
        <f>+'[2]X. Evaluacion Social'!O41</f>
        <v>186702366.865027</v>
      </c>
      <c r="K38" s="36"/>
      <c r="L38" s="11"/>
    </row>
    <row r="39" spans="1:12">
      <c r="A39" s="20">
        <f t="shared" si="3"/>
        <v>24</v>
      </c>
      <c r="B39" s="20">
        <f t="shared" si="3"/>
        <v>2048</v>
      </c>
      <c r="C39" s="61">
        <f>+'X. Evaluacion Social'!I41</f>
        <v>624740909.459122</v>
      </c>
      <c r="D39" s="61">
        <f>+'X. Evaluacion Social'!J41</f>
        <v>0</v>
      </c>
      <c r="E39" s="61">
        <f>+'X. Evaluacion Social'!K41</f>
        <v>161450649.719411</v>
      </c>
      <c r="F39" s="61">
        <f>+'X. Evaluacion Social'!L41</f>
        <v>1750000</v>
      </c>
      <c r="G39" s="61">
        <f t="shared" si="1"/>
        <v>163200649.719411</v>
      </c>
      <c r="H39" s="61">
        <f t="shared" si="2"/>
        <v>461540259.739711</v>
      </c>
      <c r="I39" s="61">
        <f>+'[2]X. Evaluacion Social'!O42</f>
        <v>174539082.471704</v>
      </c>
      <c r="K39" s="36"/>
      <c r="L39" s="11"/>
    </row>
    <row r="40" spans="1:12">
      <c r="A40" s="20">
        <f t="shared" si="3"/>
        <v>25</v>
      </c>
      <c r="B40" s="20">
        <f t="shared" si="3"/>
        <v>2049</v>
      </c>
      <c r="C40" s="61">
        <f>+'X. Evaluacion Social'!I42</f>
        <v>633305253.468757</v>
      </c>
      <c r="D40" s="61">
        <f>+'X. Evaluacion Social'!J42</f>
        <v>0</v>
      </c>
      <c r="E40" s="61">
        <f>+'X. Evaluacion Social'!K42</f>
        <v>161623757.949803</v>
      </c>
      <c r="F40" s="61">
        <f>+'X. Evaluacion Social'!L42</f>
        <v>0</v>
      </c>
      <c r="G40" s="61">
        <f t="shared" si="1"/>
        <v>161623757.949803</v>
      </c>
      <c r="H40" s="61">
        <f t="shared" si="2"/>
        <v>471681495.518954</v>
      </c>
      <c r="I40" s="61">
        <f>+'[2]X. Evaluacion Social'!O43</f>
        <v>165696064.626175</v>
      </c>
      <c r="K40" s="36"/>
      <c r="L40" s="11"/>
    </row>
    <row r="41" spans="1:12">
      <c r="A41" s="20">
        <f t="shared" si="3"/>
        <v>26</v>
      </c>
      <c r="B41" s="20">
        <f t="shared" si="3"/>
        <v>2050</v>
      </c>
      <c r="C41" s="61">
        <f>+'X. Evaluacion Social'!I43</f>
        <v>641904556.28487</v>
      </c>
      <c r="D41" s="61">
        <f>+'X. Evaluacion Social'!J43</f>
        <v>0</v>
      </c>
      <c r="E41" s="61">
        <f>+'X. Evaluacion Social'!K43</f>
        <v>161780972.123702</v>
      </c>
      <c r="F41" s="61">
        <f>+'X. Evaluacion Social'!L43</f>
        <v>14000000</v>
      </c>
      <c r="G41" s="61">
        <f t="shared" si="1"/>
        <v>175780972.123702</v>
      </c>
      <c r="H41" s="61">
        <f t="shared" si="2"/>
        <v>466123584.161168</v>
      </c>
      <c r="I41" s="61">
        <f>+'[2]X. Evaluacion Social'!O44</f>
        <v>155762858.571028</v>
      </c>
      <c r="K41" s="36"/>
      <c r="L41" s="11"/>
    </row>
    <row r="42" spans="1:12">
      <c r="A42" s="20">
        <f t="shared" si="3"/>
        <v>27</v>
      </c>
      <c r="B42" s="20">
        <f t="shared" si="3"/>
        <v>2051</v>
      </c>
      <c r="C42" s="61">
        <f>+'X. Evaluacion Social'!I44</f>
        <v>650547509.35896</v>
      </c>
      <c r="D42" s="61">
        <f>+'X. Evaluacion Social'!J44</f>
        <v>0</v>
      </c>
      <c r="E42" s="61">
        <f>+'X. Evaluacion Social'!K44</f>
        <v>161922104.589911</v>
      </c>
      <c r="F42" s="61">
        <f>+'X. Evaluacion Social'!L44</f>
        <v>0</v>
      </c>
      <c r="G42" s="61">
        <f t="shared" si="1"/>
        <v>161922104.589911</v>
      </c>
      <c r="H42" s="61">
        <f t="shared" si="2"/>
        <v>488625404.76905</v>
      </c>
      <c r="I42" s="61">
        <f>+'[2]X. Evaluacion Social'!O45</f>
        <v>146598736.910177</v>
      </c>
      <c r="K42" s="36"/>
      <c r="L42" s="11"/>
    </row>
    <row r="43" spans="1:12">
      <c r="A43" s="20">
        <f t="shared" si="3"/>
        <v>28</v>
      </c>
      <c r="B43" s="20">
        <f t="shared" si="3"/>
        <v>2052</v>
      </c>
      <c r="C43" s="61">
        <f>+'X. Evaluacion Social'!I45</f>
        <v>659237042.833889</v>
      </c>
      <c r="D43" s="61">
        <f>+'X. Evaluacion Social'!J45</f>
        <v>0</v>
      </c>
      <c r="E43" s="61">
        <f>+'X. Evaluacion Social'!K45</f>
        <v>162045729.199322</v>
      </c>
      <c r="F43" s="61">
        <f>+'X. Evaluacion Social'!L45</f>
        <v>1750000</v>
      </c>
      <c r="G43" s="61">
        <f t="shared" si="1"/>
        <v>163795729.199322</v>
      </c>
      <c r="H43" s="61">
        <f t="shared" si="2"/>
        <v>495441313.634568</v>
      </c>
      <c r="I43" s="61">
        <f>+'[2]X. Evaluacion Social'!O46</f>
        <v>126436371.382939</v>
      </c>
      <c r="K43" s="36"/>
      <c r="L43" s="11"/>
    </row>
    <row r="44" spans="1:12">
      <c r="A44" s="20">
        <f t="shared" si="3"/>
        <v>29</v>
      </c>
      <c r="B44" s="20">
        <f t="shared" si="3"/>
        <v>2053</v>
      </c>
      <c r="C44" s="61">
        <f>+'X. Evaluacion Social'!I46</f>
        <v>667964559.291227</v>
      </c>
      <c r="D44" s="61">
        <f>+'X. Evaluacion Social'!J46</f>
        <v>0</v>
      </c>
      <c r="E44" s="61">
        <f>+'X. Evaluacion Social'!K46</f>
        <v>162147867.746533</v>
      </c>
      <c r="F44" s="61">
        <f>+'X. Evaluacion Social'!L46</f>
        <v>0</v>
      </c>
      <c r="G44" s="61">
        <f t="shared" si="1"/>
        <v>162147867.746533</v>
      </c>
      <c r="H44" s="61">
        <f t="shared" si="2"/>
        <v>505816691.544694</v>
      </c>
      <c r="I44" s="61">
        <f>+'[2]X. Evaluacion Social'!O47</f>
        <v>129373200.405732</v>
      </c>
      <c r="K44" s="36"/>
      <c r="L44" s="11"/>
    </row>
    <row r="45" spans="1:12">
      <c r="A45" s="20">
        <f t="shared" si="3"/>
        <v>30</v>
      </c>
      <c r="B45" s="20">
        <f t="shared" si="3"/>
        <v>2054</v>
      </c>
      <c r="C45" s="61">
        <f>+'X. Evaluacion Social'!I47</f>
        <v>676716300.087661</v>
      </c>
      <c r="D45" s="61">
        <f>+'X. Evaluacion Social'!J47</f>
        <v>0</v>
      </c>
      <c r="E45" s="61">
        <f>+'X. Evaluacion Social'!K47</f>
        <v>162223359.823591</v>
      </c>
      <c r="F45" s="61">
        <f>+'X. Evaluacion Social'!L47</f>
        <v>163247831</v>
      </c>
      <c r="G45" s="61">
        <f t="shared" si="1"/>
        <v>325471190.823591</v>
      </c>
      <c r="H45" s="61">
        <f t="shared" si="2"/>
        <v>351245109.26407</v>
      </c>
      <c r="I45" s="61">
        <f>+'[2]X. Evaluacion Social'!O48</f>
        <v>121336202.183262</v>
      </c>
      <c r="K45" s="36"/>
      <c r="L45" s="11"/>
    </row>
    <row r="46" spans="1:12">
      <c r="A46" s="20">
        <f t="shared" si="3"/>
        <v>31</v>
      </c>
      <c r="B46" s="20">
        <f t="shared" si="3"/>
        <v>2055</v>
      </c>
      <c r="C46" s="61">
        <f>+'X. Evaluacion Social'!I48</f>
        <v>685480956.600357</v>
      </c>
      <c r="D46" s="61">
        <f>+'X. Evaluacion Social'!J48</f>
        <v>0</v>
      </c>
      <c r="E46" s="61">
        <f>+'X. Evaluacion Social'!K48</f>
        <v>162267532.915661</v>
      </c>
      <c r="F46" s="61">
        <f>+'X. Evaluacion Social'!L48</f>
        <v>0</v>
      </c>
      <c r="G46" s="61">
        <f t="shared" si="1"/>
        <v>162267532.915661</v>
      </c>
      <c r="H46" s="61">
        <f t="shared" si="2"/>
        <v>523213423.684696</v>
      </c>
      <c r="I46" s="61">
        <f>+'[2]X. Evaluacion Social'!O49</f>
        <v>111358922.733941</v>
      </c>
      <c r="K46" s="36"/>
      <c r="L46" s="11"/>
    </row>
    <row r="47" spans="1:12">
      <c r="A47" s="20">
        <f t="shared" si="3"/>
        <v>32</v>
      </c>
      <c r="B47" s="20">
        <f t="shared" si="3"/>
        <v>2056</v>
      </c>
      <c r="C47" s="61">
        <f>+'X. Evaluacion Social'!I49</f>
        <v>694256309.146959</v>
      </c>
      <c r="D47" s="61">
        <f>+'X. Evaluacion Social'!J49</f>
        <v>0</v>
      </c>
      <c r="E47" s="61">
        <f>+'X. Evaluacion Social'!K49</f>
        <v>162277684.845487</v>
      </c>
      <c r="F47" s="61">
        <f>+'X. Evaluacion Social'!L49</f>
        <v>1750000</v>
      </c>
      <c r="G47" s="61">
        <f t="shared" si="1"/>
        <v>164027684.845487</v>
      </c>
      <c r="H47" s="61">
        <f t="shared" si="2"/>
        <v>530228624.301473</v>
      </c>
      <c r="I47" s="61">
        <f>+'[2]X. Evaluacion Social'!O50</f>
        <v>106182195.380319</v>
      </c>
      <c r="K47" s="36"/>
      <c r="L47" s="11"/>
    </row>
    <row r="48" spans="1:12">
      <c r="A48" s="20">
        <f t="shared" ref="A48:B54" si="4">A47+1</f>
        <v>33</v>
      </c>
      <c r="B48" s="20">
        <f t="shared" si="4"/>
        <v>2057</v>
      </c>
      <c r="C48" s="61">
        <f>+'X. Evaluacion Social'!I50</f>
        <v>703045663.468489</v>
      </c>
      <c r="D48" s="61">
        <f>+'X. Evaluacion Social'!J50</f>
        <v>0</v>
      </c>
      <c r="E48" s="61">
        <f>+'X. Evaluacion Social'!K50</f>
        <v>162252314.403482</v>
      </c>
      <c r="F48" s="61">
        <f>+'X. Evaluacion Social'!L50</f>
        <v>49394500</v>
      </c>
      <c r="G48" s="61">
        <f t="shared" si="1"/>
        <v>211646814.403482</v>
      </c>
      <c r="H48" s="61">
        <f t="shared" si="2"/>
        <v>491398849.065006</v>
      </c>
      <c r="I48" s="61">
        <f>+'[2]X. Evaluacion Social'!O51</f>
        <v>100159093.417922</v>
      </c>
      <c r="K48" s="36"/>
      <c r="L48" s="11"/>
    </row>
    <row r="49" spans="1:12">
      <c r="A49" s="20">
        <f t="shared" si="4"/>
        <v>34</v>
      </c>
      <c r="B49" s="20">
        <f t="shared" si="4"/>
        <v>2058</v>
      </c>
      <c r="C49" s="61">
        <f>+'X. Evaluacion Social'!I51</f>
        <v>711863071.381862</v>
      </c>
      <c r="D49" s="61">
        <f>+'X. Evaluacion Social'!J51</f>
        <v>0</v>
      </c>
      <c r="E49" s="61">
        <f>+'X. Evaluacion Social'!K51</f>
        <v>162192303.55028</v>
      </c>
      <c r="F49" s="61">
        <f>+'X. Evaluacion Social'!L51</f>
        <v>14000000</v>
      </c>
      <c r="G49" s="61">
        <f t="shared" si="1"/>
        <v>176192303.55028</v>
      </c>
      <c r="H49" s="61">
        <f t="shared" si="2"/>
        <v>535670767.831582</v>
      </c>
      <c r="I49" s="61">
        <f>+'[2]X. Evaluacion Social'!O52</f>
        <v>93856961.8881761</v>
      </c>
      <c r="K49" s="36"/>
      <c r="L49" s="11"/>
    </row>
    <row r="50" spans="1:12">
      <c r="A50" s="20">
        <f t="shared" si="4"/>
        <v>35</v>
      </c>
      <c r="B50" s="20">
        <f t="shared" si="4"/>
        <v>2059</v>
      </c>
      <c r="C50" s="61">
        <f>+'X. Evaluacion Social'!I52</f>
        <v>720729467.048287</v>
      </c>
      <c r="D50" s="61">
        <f>+'X. Evaluacion Social'!J52</f>
        <v>0</v>
      </c>
      <c r="E50" s="61">
        <f>+'X. Evaluacion Social'!K52</f>
        <v>162100091.751457</v>
      </c>
      <c r="F50" s="61">
        <f>+'X. Evaluacion Social'!L52</f>
        <v>0</v>
      </c>
      <c r="G50" s="61">
        <f t="shared" si="1"/>
        <v>162100091.751457</v>
      </c>
      <c r="H50" s="61">
        <f t="shared" si="2"/>
        <v>558629375.29683</v>
      </c>
      <c r="I50" s="61">
        <f>+'[2]X. Evaluacion Social'!O53</f>
        <v>87921780.8160713</v>
      </c>
      <c r="K50" s="36"/>
      <c r="L50" s="11"/>
    </row>
    <row r="51" spans="1:12">
      <c r="A51" s="20">
        <f t="shared" si="4"/>
        <v>36</v>
      </c>
      <c r="B51" s="20">
        <f t="shared" si="4"/>
        <v>2060</v>
      </c>
      <c r="C51" s="61">
        <f>+'X. Evaluacion Social'!I53</f>
        <v>729670792.682198</v>
      </c>
      <c r="D51" s="61">
        <f>+'X. Evaluacion Social'!J53</f>
        <v>0</v>
      </c>
      <c r="E51" s="61">
        <f>+'X. Evaluacion Social'!K53</f>
        <v>161979281.910019</v>
      </c>
      <c r="F51" s="61">
        <f>+'X. Evaluacion Social'!L53</f>
        <v>0</v>
      </c>
      <c r="G51" s="61">
        <f t="shared" si="1"/>
        <v>161979281.910019</v>
      </c>
      <c r="H51" s="61">
        <f t="shared" si="2"/>
        <v>567691510.772178</v>
      </c>
      <c r="I51" s="61">
        <f>+'[2]X. Evaluacion Social'!O54</f>
        <v>82279792.0270734</v>
      </c>
      <c r="K51" s="36"/>
      <c r="L51" s="11"/>
    </row>
    <row r="52" spans="1:12">
      <c r="A52" s="20">
        <f t="shared" si="4"/>
        <v>37</v>
      </c>
      <c r="B52" s="20">
        <f t="shared" si="4"/>
        <v>2061</v>
      </c>
      <c r="C52" s="61">
        <f>+'X. Evaluacion Social'!I54</f>
        <v>738710454.487684</v>
      </c>
      <c r="D52" s="61">
        <f>+'X. Evaluacion Social'!J54</f>
        <v>0</v>
      </c>
      <c r="E52" s="61">
        <f>+'X. Evaluacion Social'!K54</f>
        <v>161832970.270739</v>
      </c>
      <c r="F52" s="61">
        <f>+'X. Evaluacion Social'!L54</f>
        <v>0</v>
      </c>
      <c r="G52" s="61">
        <f t="shared" si="1"/>
        <v>161832970.270739</v>
      </c>
      <c r="H52" s="61">
        <f t="shared" si="2"/>
        <v>576877484.216945</v>
      </c>
      <c r="I52" s="61">
        <f>+'[2]X. Evaluacion Social'!O55</f>
        <v>77083804.1791905</v>
      </c>
      <c r="K52" s="36"/>
      <c r="L52" s="11"/>
    </row>
    <row r="53" spans="1:12">
      <c r="A53" s="20">
        <f t="shared" si="4"/>
        <v>38</v>
      </c>
      <c r="B53" s="20">
        <f t="shared" si="4"/>
        <v>2062</v>
      </c>
      <c r="C53" s="61">
        <f>+'X. Evaluacion Social'!I55</f>
        <v>747874234.92687</v>
      </c>
      <c r="D53" s="61">
        <f>+'X. Evaluacion Social'!J55</f>
        <v>0</v>
      </c>
      <c r="E53" s="61">
        <f>+'X. Evaluacion Social'!K55</f>
        <v>161664834.797101</v>
      </c>
      <c r="F53" s="61">
        <f>+'X. Evaluacion Social'!L55</f>
        <v>1750000</v>
      </c>
      <c r="G53" s="61">
        <f t="shared" si="1"/>
        <v>163414834.797101</v>
      </c>
      <c r="H53" s="61">
        <f t="shared" si="2"/>
        <v>584459400.129769</v>
      </c>
      <c r="I53" s="61">
        <f>+'[2]X. Evaluacion Social'!O56</f>
        <v>68300159.0770437</v>
      </c>
      <c r="K53" s="36"/>
      <c r="L53" s="11"/>
    </row>
    <row r="54" spans="1:12">
      <c r="A54" s="20">
        <f t="shared" si="4"/>
        <v>39</v>
      </c>
      <c r="B54" s="20">
        <f t="shared" si="4"/>
        <v>2063</v>
      </c>
      <c r="C54" s="61">
        <f>+'X. Evaluacion Social'!I56</f>
        <v>757189160.348819</v>
      </c>
      <c r="D54" s="61">
        <f>+'X. Evaluacion Social'!J56</f>
        <v>0</v>
      </c>
      <c r="E54" s="61">
        <f>+'X. Evaluacion Social'!K56</f>
        <v>161478891.224749</v>
      </c>
      <c r="F54" s="61">
        <f>+'X. Evaluacion Social'!L56</f>
        <v>0</v>
      </c>
      <c r="G54" s="61">
        <f t="shared" si="1"/>
        <v>161478891.224749</v>
      </c>
      <c r="H54" s="61">
        <f t="shared" si="2"/>
        <v>595710269.12407</v>
      </c>
      <c r="I54" s="61">
        <f>+'[2]X. Evaluacion Social'!O57</f>
        <v>67510256.1451233</v>
      </c>
      <c r="K54" s="36"/>
      <c r="L54" s="11"/>
    </row>
    <row r="55" spans="1:12">
      <c r="A55" s="22"/>
      <c r="B55" s="22"/>
      <c r="C55" s="63"/>
      <c r="D55" s="21">
        <f>+'X. Evaluacion Social'!J57</f>
        <v>1220645450.70894</v>
      </c>
      <c r="E55" s="21">
        <f>+AVERAGE(E16:E54)</f>
        <v>156263873.390936</v>
      </c>
      <c r="F55" s="24"/>
      <c r="G55" s="64"/>
      <c r="H55" s="25" t="s">
        <v>1043</v>
      </c>
      <c r="I55" s="37">
        <f>SUM(I15:I54)</f>
        <v>7247850832.62027</v>
      </c>
      <c r="L55" s="38"/>
    </row>
    <row r="56" spans="1:12">
      <c r="A56" s="22"/>
      <c r="B56" s="22"/>
      <c r="C56" s="23"/>
      <c r="D56" s="22"/>
      <c r="E56" s="22"/>
      <c r="F56" s="26"/>
      <c r="G56" s="64"/>
      <c r="H56" s="25" t="s">
        <v>1044</v>
      </c>
      <c r="I56" s="39">
        <f>IRR(H15:H54)</f>
        <v>0.22253691875865</v>
      </c>
      <c r="L56" s="40"/>
    </row>
    <row r="57" spans="1:23">
      <c r="A57" s="22"/>
      <c r="B57" s="22"/>
      <c r="C57" s="23"/>
      <c r="D57" s="22"/>
      <c r="E57" s="22"/>
      <c r="F57" s="22"/>
      <c r="G57" s="64"/>
      <c r="H57" s="25" t="s">
        <v>1045</v>
      </c>
      <c r="I57" s="71">
        <f>+H18/D55</f>
        <v>0.222025328912623</v>
      </c>
      <c r="L57" s="42"/>
      <c r="M57" s="72" t="s">
        <v>1045</v>
      </c>
      <c r="P57" s="33"/>
      <c r="Q57" s="33"/>
      <c r="R57" s="33"/>
      <c r="S57" s="33"/>
      <c r="W57" s="33"/>
    </row>
    <row r="58" spans="1:19">
      <c r="A58" s="11"/>
      <c r="B58" s="11"/>
      <c r="C58" s="11"/>
      <c r="D58" s="11"/>
      <c r="E58" s="11"/>
      <c r="F58" s="11"/>
      <c r="G58" s="11"/>
      <c r="H58" s="11"/>
      <c r="I58" s="11"/>
      <c r="J58" s="11"/>
      <c r="K58" s="11"/>
      <c r="L58" s="11"/>
      <c r="M58" s="11"/>
      <c r="N58" s="11"/>
      <c r="O58" s="11"/>
      <c r="P58" s="11"/>
      <c r="Q58" s="11"/>
      <c r="R58" s="11"/>
      <c r="S58" s="11"/>
    </row>
    <row r="59" spans="6:21">
      <c r="F59" s="11"/>
      <c r="G59" s="11"/>
      <c r="H59" s="11"/>
      <c r="I59" s="11"/>
      <c r="J59" s="11"/>
      <c r="K59" s="11"/>
      <c r="L59" s="11"/>
      <c r="M59" s="11"/>
      <c r="N59" s="11"/>
      <c r="O59" s="11"/>
      <c r="P59" s="11"/>
      <c r="Q59" s="11"/>
      <c r="R59" s="11"/>
      <c r="S59" s="11"/>
      <c r="T59" s="11"/>
      <c r="U59" s="11"/>
    </row>
    <row r="60" spans="2:21">
      <c r="B60" s="65"/>
      <c r="C60" s="65"/>
      <c r="D60" s="65"/>
      <c r="E60" s="65"/>
      <c r="F60" s="65"/>
      <c r="G60" s="65"/>
      <c r="H60" s="65"/>
      <c r="I60" s="65"/>
      <c r="J60" s="65"/>
      <c r="K60" s="65"/>
      <c r="L60" s="65"/>
      <c r="M60" s="65"/>
      <c r="N60" s="65"/>
      <c r="O60" s="65"/>
      <c r="P60" s="11"/>
      <c r="Q60" s="11"/>
      <c r="R60" s="11"/>
      <c r="S60" s="11"/>
      <c r="T60" s="11"/>
      <c r="U60" s="11"/>
    </row>
    <row r="61" ht="14.7" customHeight="1" spans="2:21">
      <c r="B61" s="66" t="s">
        <v>1056</v>
      </c>
      <c r="C61" s="67"/>
      <c r="D61" s="67"/>
      <c r="E61" s="67"/>
      <c r="F61" s="67"/>
      <c r="G61" s="67"/>
      <c r="H61" s="67"/>
      <c r="I61" s="67"/>
      <c r="J61" s="67"/>
      <c r="K61" s="67"/>
      <c r="L61" s="67"/>
      <c r="M61" s="67"/>
      <c r="N61" s="67"/>
      <c r="O61" s="67"/>
      <c r="T61" s="11"/>
      <c r="U61" s="11"/>
    </row>
    <row r="62" spans="2:17">
      <c r="B62" s="68">
        <v>-0.3</v>
      </c>
      <c r="C62" s="69"/>
      <c r="D62" s="70">
        <v>-0.2</v>
      </c>
      <c r="E62" s="70"/>
      <c r="F62" s="70">
        <v>-0.1</v>
      </c>
      <c r="G62" s="70"/>
      <c r="H62" s="70">
        <v>0</v>
      </c>
      <c r="I62" s="70"/>
      <c r="J62" s="70">
        <v>0.2</v>
      </c>
      <c r="K62" s="70"/>
      <c r="L62" s="70">
        <v>0.5</v>
      </c>
      <c r="M62" s="70"/>
      <c r="N62" s="73">
        <v>1.143925</v>
      </c>
      <c r="O62" s="70"/>
      <c r="P62" s="11"/>
      <c r="Q62" s="11"/>
    </row>
    <row r="63" ht="45" spans="2:20">
      <c r="B63" s="31" t="s">
        <v>1040</v>
      </c>
      <c r="C63" s="31" t="s">
        <v>1054</v>
      </c>
      <c r="D63" s="31" t="s">
        <v>1040</v>
      </c>
      <c r="E63" s="31" t="s">
        <v>1054</v>
      </c>
      <c r="F63" s="31" t="s">
        <v>1040</v>
      </c>
      <c r="G63" s="31" t="s">
        <v>1054</v>
      </c>
      <c r="H63" s="31" t="s">
        <v>1040</v>
      </c>
      <c r="I63" s="31" t="s">
        <v>1054</v>
      </c>
      <c r="J63" s="31" t="s">
        <v>1040</v>
      </c>
      <c r="K63" s="31" t="s">
        <v>1054</v>
      </c>
      <c r="L63" s="31" t="s">
        <v>1040</v>
      </c>
      <c r="M63" s="31" t="s">
        <v>1054</v>
      </c>
      <c r="N63" s="31" t="s">
        <v>1040</v>
      </c>
      <c r="O63" s="31" t="s">
        <v>1054</v>
      </c>
      <c r="P63" s="11"/>
      <c r="Q63" s="45" t="s">
        <v>1052</v>
      </c>
      <c r="R63" s="46" t="s">
        <v>1057</v>
      </c>
      <c r="S63" s="45" t="s">
        <v>1043</v>
      </c>
      <c r="T63" s="45" t="s">
        <v>1044</v>
      </c>
    </row>
    <row r="64" spans="1:20">
      <c r="A64" s="1">
        <v>0</v>
      </c>
      <c r="B64" s="33">
        <f>+C15-((E15*(1+$B$62))+D15+F15)</f>
        <v>-101421698.329363</v>
      </c>
      <c r="C64" s="33">
        <f t="shared" ref="C64:C103" si="5">+B64/((1+$B$7)^A15)</f>
        <v>-101421698.329363</v>
      </c>
      <c r="D64" s="33">
        <f t="shared" ref="D64:D103" si="6">+C15-((E15*(1+$D$62))+D15+F15)</f>
        <v>-106756051.985066</v>
      </c>
      <c r="E64" s="33">
        <f t="shared" ref="E64:E103" si="7">+D64/((1+$B$7)^A15)</f>
        <v>-106756051.985066</v>
      </c>
      <c r="F64" s="33">
        <f t="shared" ref="F64:F103" si="8">+C15-(($E15*(1+$F$62))+D15+F15)</f>
        <v>-112090405.640769</v>
      </c>
      <c r="G64" s="33">
        <f t="shared" ref="G64:G103" si="9">+F64/((1+$B$7)^A15)</f>
        <v>-112090405.640769</v>
      </c>
      <c r="H64" s="33">
        <f t="shared" ref="H64:H103" si="10">+C15-(($E15*(1+$H$62))+F15+D15)</f>
        <v>-117424759.296471</v>
      </c>
      <c r="I64" s="33">
        <f t="shared" ref="I64:I103" si="11">+H64/((1+$B$7)^A15)</f>
        <v>-117424759.296471</v>
      </c>
      <c r="J64" s="33">
        <f t="shared" ref="J64:J103" si="12">+C15-(($E15*(1+$J$62))+F15+D15)</f>
        <v>-128093466.607877</v>
      </c>
      <c r="K64" s="33">
        <f t="shared" ref="K64:K103" si="13">+J64/((1+$B$7)^A15)</f>
        <v>-128093466.607877</v>
      </c>
      <c r="L64" s="33">
        <f t="shared" ref="L64:L103" si="14">+C15-(($E15*(1+$L$62))+F15+D15)</f>
        <v>-144096527.574985</v>
      </c>
      <c r="M64" s="33">
        <f t="shared" ref="M64:M103" si="15">+L64/((1+$B$7)^A15)</f>
        <v>-144096527.574985</v>
      </c>
      <c r="N64" s="32">
        <f t="shared" ref="N64:N103" si="16">+C15-(($E15*(1+$N$62))+F15+D15)</f>
        <v>-178445764.352469</v>
      </c>
      <c r="O64" s="32">
        <f t="shared" ref="O64:O103" si="17">+N64/((1+$B$7)^A15)</f>
        <v>-178445764.352469</v>
      </c>
      <c r="Q64" s="51">
        <f>B62</f>
        <v>-0.3</v>
      </c>
      <c r="R64" s="74">
        <f>+$E$55*(1+Q64)</f>
        <v>109384711.373655</v>
      </c>
      <c r="S64" s="52">
        <f>C104</f>
        <v>2273731246.44033</v>
      </c>
      <c r="T64" s="51">
        <f>C105</f>
        <v>0.288539726041777</v>
      </c>
    </row>
    <row r="65" spans="1:20">
      <c r="A65" s="1">
        <v>1</v>
      </c>
      <c r="B65" s="33">
        <f>+C16-((E16*(1+$B$62))+D16+F16)</f>
        <v>-1025537455.39776</v>
      </c>
      <c r="C65" s="33">
        <f t="shared" si="5"/>
        <v>-932306777.634332</v>
      </c>
      <c r="D65" s="33">
        <f t="shared" si="6"/>
        <v>-1030871809.05347</v>
      </c>
      <c r="E65" s="33">
        <f t="shared" si="7"/>
        <v>-937156190.048607</v>
      </c>
      <c r="F65" s="33">
        <f t="shared" si="8"/>
        <v>-1036206162.70917</v>
      </c>
      <c r="G65" s="33">
        <f t="shared" si="9"/>
        <v>-942005602.462882</v>
      </c>
      <c r="H65" s="33">
        <f t="shared" si="10"/>
        <v>-1041540516.36487</v>
      </c>
      <c r="I65" s="33">
        <f t="shared" si="11"/>
        <v>-946855014.877157</v>
      </c>
      <c r="J65" s="33">
        <f t="shared" si="12"/>
        <v>-1052209223.67628</v>
      </c>
      <c r="K65" s="33">
        <f t="shared" si="13"/>
        <v>-956553839.705708</v>
      </c>
      <c r="L65" s="33">
        <f t="shared" si="14"/>
        <v>-1068212284.64339</v>
      </c>
      <c r="M65" s="33">
        <f t="shared" si="15"/>
        <v>-971102076.948534</v>
      </c>
      <c r="N65" s="32">
        <f t="shared" si="16"/>
        <v>-1102561521.42087</v>
      </c>
      <c r="O65" s="32">
        <f t="shared" si="17"/>
        <v>-1002328655.83716</v>
      </c>
      <c r="Q65" s="51">
        <f>D62</f>
        <v>-0.2</v>
      </c>
      <c r="R65" s="74">
        <f t="shared" ref="R65:R70" si="18">+$E$55*(1+Q65)</f>
        <v>125011098.712749</v>
      </c>
      <c r="S65" s="52">
        <f>E104</f>
        <v>1986752719.1491</v>
      </c>
      <c r="T65" s="51">
        <f>E105</f>
        <v>0.247927592037186</v>
      </c>
    </row>
    <row r="66" spans="1:20">
      <c r="A66" s="1">
        <v>2</v>
      </c>
      <c r="B66" s="33">
        <f>+C17-((E17*(1+B62))+F17)</f>
        <v>305134340.396976</v>
      </c>
      <c r="C66" s="33">
        <f t="shared" si="5"/>
        <v>252177140.823947</v>
      </c>
      <c r="D66" s="33">
        <f t="shared" si="6"/>
        <v>121720304.690488</v>
      </c>
      <c r="E66" s="33">
        <f t="shared" si="7"/>
        <v>100595293.132635</v>
      </c>
      <c r="F66" s="33">
        <f t="shared" si="8"/>
        <v>106673517.145654</v>
      </c>
      <c r="G66" s="33">
        <f t="shared" si="9"/>
        <v>88159931.525334</v>
      </c>
      <c r="H66" s="33">
        <f t="shared" si="10"/>
        <v>91626729.6008202</v>
      </c>
      <c r="I66" s="33">
        <f t="shared" si="11"/>
        <v>75724569.9180332</v>
      </c>
      <c r="J66" s="33">
        <f t="shared" si="12"/>
        <v>61533154.5111523</v>
      </c>
      <c r="K66" s="33">
        <f t="shared" si="13"/>
        <v>50853846.7034317</v>
      </c>
      <c r="L66" s="33">
        <f t="shared" si="14"/>
        <v>16392791.8766505</v>
      </c>
      <c r="M66" s="33">
        <f t="shared" si="15"/>
        <v>13547761.8815293</v>
      </c>
      <c r="N66" s="32">
        <f t="shared" si="16"/>
        <v>-80497234.8214215</v>
      </c>
      <c r="O66" s="32">
        <f t="shared" si="17"/>
        <v>-66526640.3482822</v>
      </c>
      <c r="Q66" s="60">
        <f>F62</f>
        <v>-0.1</v>
      </c>
      <c r="R66" s="74">
        <f t="shared" si="18"/>
        <v>140637486.051843</v>
      </c>
      <c r="S66" s="77">
        <f>G104</f>
        <v>1838920677.94188</v>
      </c>
      <c r="T66" s="60">
        <f>G105</f>
        <v>0.235072862375032</v>
      </c>
    </row>
    <row r="67" spans="1:20">
      <c r="A67" s="1">
        <v>3</v>
      </c>
      <c r="B67" s="33">
        <f t="shared" ref="B67:B103" si="19">+C18-((E18*(1+$B$62))+D18+F18)</f>
        <v>316395902.890394</v>
      </c>
      <c r="C67" s="33">
        <f t="shared" si="5"/>
        <v>237712924.786171</v>
      </c>
      <c r="D67" s="33">
        <f t="shared" si="6"/>
        <v>301268671.15338</v>
      </c>
      <c r="E67" s="33">
        <f t="shared" si="7"/>
        <v>226347611.685484</v>
      </c>
      <c r="F67" s="33">
        <f t="shared" si="8"/>
        <v>286141439.416365</v>
      </c>
      <c r="G67" s="33">
        <f t="shared" si="9"/>
        <v>214982298.584797</v>
      </c>
      <c r="H67" s="33">
        <f t="shared" si="10"/>
        <v>271014207.679351</v>
      </c>
      <c r="I67" s="33">
        <f t="shared" si="11"/>
        <v>203616985.48411</v>
      </c>
      <c r="J67" s="33">
        <f t="shared" si="12"/>
        <v>240759744.205322</v>
      </c>
      <c r="K67" s="33">
        <f t="shared" si="13"/>
        <v>180886359.282736</v>
      </c>
      <c r="L67" s="33">
        <f t="shared" si="14"/>
        <v>195378048.994278</v>
      </c>
      <c r="M67" s="33">
        <f t="shared" si="15"/>
        <v>146790419.980675</v>
      </c>
      <c r="N67" s="32">
        <f t="shared" si="16"/>
        <v>97970022.0317078</v>
      </c>
      <c r="O67" s="32">
        <f t="shared" si="17"/>
        <v>73606327.5970757</v>
      </c>
      <c r="Q67" s="60">
        <f>H62</f>
        <v>0</v>
      </c>
      <c r="R67" s="74">
        <f t="shared" si="18"/>
        <v>156263873.390936</v>
      </c>
      <c r="S67" s="52">
        <f>I104</f>
        <v>1691088636.73467</v>
      </c>
      <c r="T67" s="51">
        <f>I105</f>
        <v>0.22253691875865</v>
      </c>
    </row>
    <row r="68" spans="1:20">
      <c r="A68" s="1">
        <v>4</v>
      </c>
      <c r="B68" s="33">
        <f t="shared" si="19"/>
        <v>327166528.395249</v>
      </c>
      <c r="C68" s="33">
        <f t="shared" si="5"/>
        <v>223459141.039033</v>
      </c>
      <c r="D68" s="33">
        <f t="shared" si="6"/>
        <v>311963787.692568</v>
      </c>
      <c r="E68" s="33">
        <f t="shared" si="7"/>
        <v>213075464.580676</v>
      </c>
      <c r="F68" s="33">
        <f t="shared" si="8"/>
        <v>296761046.989887</v>
      </c>
      <c r="G68" s="33">
        <f t="shared" si="9"/>
        <v>202691788.122319</v>
      </c>
      <c r="H68" s="33">
        <f t="shared" si="10"/>
        <v>281558306.287206</v>
      </c>
      <c r="I68" s="33">
        <f t="shared" si="11"/>
        <v>192308111.663962</v>
      </c>
      <c r="J68" s="33">
        <f t="shared" si="12"/>
        <v>251152824.881844</v>
      </c>
      <c r="K68" s="33">
        <f t="shared" si="13"/>
        <v>171540758.747247</v>
      </c>
      <c r="L68" s="33">
        <f t="shared" si="14"/>
        <v>205544602.773802</v>
      </c>
      <c r="M68" s="33">
        <f t="shared" si="15"/>
        <v>140389729.372175</v>
      </c>
      <c r="N68" s="32">
        <f t="shared" si="16"/>
        <v>107650354.704064</v>
      </c>
      <c r="O68" s="32">
        <f t="shared" si="17"/>
        <v>73526640.7376982</v>
      </c>
      <c r="Q68" s="60">
        <f>J62</f>
        <v>0.2</v>
      </c>
      <c r="R68" s="74">
        <f t="shared" si="18"/>
        <v>187516648.069123</v>
      </c>
      <c r="S68" s="77">
        <f>K104</f>
        <v>1395424554.32024</v>
      </c>
      <c r="T68" s="60">
        <f>K105</f>
        <v>0.198399683047704</v>
      </c>
    </row>
    <row r="69" spans="1:20">
      <c r="A69" s="1">
        <v>5</v>
      </c>
      <c r="B69" s="33">
        <f t="shared" si="19"/>
        <v>337484521.991263</v>
      </c>
      <c r="C69" s="33">
        <f t="shared" si="5"/>
        <v>209551335.906801</v>
      </c>
      <c r="D69" s="33">
        <f t="shared" si="6"/>
        <v>322210811.605401</v>
      </c>
      <c r="E69" s="33">
        <f t="shared" si="7"/>
        <v>200067563.44599</v>
      </c>
      <c r="F69" s="33">
        <f t="shared" si="8"/>
        <v>306937101.21954</v>
      </c>
      <c r="G69" s="33">
        <f t="shared" si="9"/>
        <v>190583790.985178</v>
      </c>
      <c r="H69" s="33">
        <f t="shared" si="10"/>
        <v>291663390.833678</v>
      </c>
      <c r="I69" s="33">
        <f t="shared" si="11"/>
        <v>181100018.524367</v>
      </c>
      <c r="J69" s="33">
        <f t="shared" si="12"/>
        <v>261115970.061956</v>
      </c>
      <c r="K69" s="33">
        <f t="shared" si="13"/>
        <v>162132473.602744</v>
      </c>
      <c r="L69" s="33">
        <f t="shared" si="14"/>
        <v>215294838.904371</v>
      </c>
      <c r="M69" s="33">
        <f t="shared" si="15"/>
        <v>133681156.22031</v>
      </c>
      <c r="N69" s="32">
        <f t="shared" si="16"/>
        <v>116943599.302213</v>
      </c>
      <c r="O69" s="32">
        <f t="shared" si="17"/>
        <v>72612774.4020296</v>
      </c>
      <c r="Q69" s="60">
        <f>L62</f>
        <v>0.5</v>
      </c>
      <c r="R69" s="74">
        <f t="shared" si="18"/>
        <v>234395810.086404</v>
      </c>
      <c r="S69" s="77">
        <f>M104</f>
        <v>951928430.698597</v>
      </c>
      <c r="T69" s="60">
        <f>M105</f>
        <v>0.164456671451829</v>
      </c>
    </row>
    <row r="70" spans="1:20">
      <c r="A70" s="1">
        <v>6</v>
      </c>
      <c r="B70" s="33">
        <f t="shared" si="19"/>
        <v>347398100.631136</v>
      </c>
      <c r="C70" s="33">
        <f t="shared" si="5"/>
        <v>196097171.156475</v>
      </c>
      <c r="D70" s="33">
        <f t="shared" si="6"/>
        <v>332057252.399562</v>
      </c>
      <c r="E70" s="33">
        <f t="shared" si="7"/>
        <v>187437662.26484</v>
      </c>
      <c r="F70" s="33">
        <f t="shared" si="8"/>
        <v>316716404.167989</v>
      </c>
      <c r="G70" s="33">
        <f t="shared" si="9"/>
        <v>178778153.373205</v>
      </c>
      <c r="H70" s="33">
        <f t="shared" si="10"/>
        <v>301375555.936415</v>
      </c>
      <c r="I70" s="33">
        <f t="shared" si="11"/>
        <v>170118644.48157</v>
      </c>
      <c r="J70" s="33">
        <f t="shared" si="12"/>
        <v>270693859.473268</v>
      </c>
      <c r="K70" s="33">
        <f t="shared" si="13"/>
        <v>152799626.6983</v>
      </c>
      <c r="L70" s="33">
        <f t="shared" si="14"/>
        <v>224671314.778547</v>
      </c>
      <c r="M70" s="33">
        <f t="shared" si="15"/>
        <v>126821100.023396</v>
      </c>
      <c r="N70" s="32">
        <f t="shared" si="16"/>
        <v>125887757.803386</v>
      </c>
      <c r="O70" s="32">
        <f t="shared" si="17"/>
        <v>71060357.3929355</v>
      </c>
      <c r="Q70" s="78">
        <f>N62</f>
        <v>1.143925</v>
      </c>
      <c r="R70" s="74">
        <f t="shared" si="18"/>
        <v>335018024.759663</v>
      </c>
      <c r="S70" s="79">
        <f>O104</f>
        <v>959.355041144416</v>
      </c>
      <c r="T70" s="78">
        <f>O105</f>
        <v>0.100000059880783</v>
      </c>
    </row>
    <row r="71" spans="1:15">
      <c r="A71" s="1">
        <v>7</v>
      </c>
      <c r="B71" s="33">
        <f t="shared" si="19"/>
        <v>357480172.098228</v>
      </c>
      <c r="C71" s="33">
        <f t="shared" si="5"/>
        <v>183443852.418716</v>
      </c>
      <c r="D71" s="33">
        <f t="shared" si="6"/>
        <v>342075274.759665</v>
      </c>
      <c r="E71" s="33">
        <f t="shared" si="7"/>
        <v>175538704.288922</v>
      </c>
      <c r="F71" s="33">
        <f t="shared" si="8"/>
        <v>326670377.421103</v>
      </c>
      <c r="G71" s="33">
        <f t="shared" si="9"/>
        <v>167633556.159128</v>
      </c>
      <c r="H71" s="33">
        <f t="shared" si="10"/>
        <v>311265480.08254</v>
      </c>
      <c r="I71" s="33">
        <f t="shared" si="11"/>
        <v>159728408.029334</v>
      </c>
      <c r="J71" s="33">
        <f t="shared" si="12"/>
        <v>280455685.405415</v>
      </c>
      <c r="K71" s="33">
        <f t="shared" si="13"/>
        <v>143918111.769746</v>
      </c>
      <c r="L71" s="33">
        <f t="shared" si="14"/>
        <v>234240993.389728</v>
      </c>
      <c r="M71" s="33">
        <f t="shared" si="15"/>
        <v>120202667.380364</v>
      </c>
      <c r="N71" s="32">
        <f t="shared" si="16"/>
        <v>135045008.202389</v>
      </c>
      <c r="O71" s="32">
        <f t="shared" si="17"/>
        <v>69299442.2855884</v>
      </c>
    </row>
    <row r="72" spans="1:15">
      <c r="A72" s="1">
        <v>8</v>
      </c>
      <c r="B72" s="33">
        <f t="shared" si="19"/>
        <v>365628936.357969</v>
      </c>
      <c r="C72" s="33">
        <f t="shared" si="5"/>
        <v>170568597.229227</v>
      </c>
      <c r="D72" s="33">
        <f t="shared" si="6"/>
        <v>350162410.612875</v>
      </c>
      <c r="E72" s="33">
        <f t="shared" si="7"/>
        <v>163353348.822937</v>
      </c>
      <c r="F72" s="33">
        <f t="shared" si="8"/>
        <v>334695884.867781</v>
      </c>
      <c r="G72" s="33">
        <f t="shared" si="9"/>
        <v>156138100.416647</v>
      </c>
      <c r="H72" s="33">
        <f t="shared" si="10"/>
        <v>319229359.122687</v>
      </c>
      <c r="I72" s="33">
        <f t="shared" si="11"/>
        <v>148922852.010357</v>
      </c>
      <c r="J72" s="33">
        <f t="shared" si="12"/>
        <v>288296307.6325</v>
      </c>
      <c r="K72" s="33">
        <f t="shared" si="13"/>
        <v>134492355.197777</v>
      </c>
      <c r="L72" s="33">
        <f t="shared" si="14"/>
        <v>241896730.397218</v>
      </c>
      <c r="M72" s="33">
        <f t="shared" si="15"/>
        <v>112846609.978906</v>
      </c>
      <c r="N72" s="32">
        <f t="shared" si="16"/>
        <v>142303904.493122</v>
      </c>
      <c r="O72" s="32">
        <f t="shared" si="17"/>
        <v>66385821.6787025</v>
      </c>
    </row>
    <row r="73" spans="1:15">
      <c r="A73" s="1">
        <v>9</v>
      </c>
      <c r="B73" s="33">
        <f t="shared" si="19"/>
        <v>344755541.685036</v>
      </c>
      <c r="C73" s="33">
        <f t="shared" si="5"/>
        <v>146210004.149339</v>
      </c>
      <c r="D73" s="33">
        <f t="shared" si="6"/>
        <v>329229198.367474</v>
      </c>
      <c r="E73" s="33">
        <f t="shared" si="7"/>
        <v>139625318.926328</v>
      </c>
      <c r="F73" s="33">
        <f t="shared" si="8"/>
        <v>313702855.049911</v>
      </c>
      <c r="G73" s="33">
        <f t="shared" si="9"/>
        <v>133040633.703316</v>
      </c>
      <c r="H73" s="33">
        <f t="shared" si="10"/>
        <v>298176511.732349</v>
      </c>
      <c r="I73" s="33">
        <f t="shared" si="11"/>
        <v>126455948.480305</v>
      </c>
      <c r="J73" s="33">
        <f t="shared" si="12"/>
        <v>267123825.097225</v>
      </c>
      <c r="K73" s="33">
        <f t="shared" si="13"/>
        <v>113286578.034281</v>
      </c>
      <c r="L73" s="33">
        <f t="shared" si="14"/>
        <v>220544795.144539</v>
      </c>
      <c r="M73" s="33">
        <f t="shared" si="15"/>
        <v>93532522.3652465</v>
      </c>
      <c r="N73" s="32">
        <f t="shared" si="16"/>
        <v>120566788.936927</v>
      </c>
      <c r="O73" s="32">
        <f t="shared" si="17"/>
        <v>51132088.042969</v>
      </c>
    </row>
    <row r="74" spans="1:15">
      <c r="A74" s="1">
        <v>10</v>
      </c>
      <c r="B74" s="33">
        <f t="shared" si="19"/>
        <v>261289544.142868</v>
      </c>
      <c r="C74" s="33">
        <f t="shared" si="5"/>
        <v>100738430.342384</v>
      </c>
      <c r="D74" s="33">
        <f t="shared" si="6"/>
        <v>245704627.380282</v>
      </c>
      <c r="E74" s="33">
        <f t="shared" si="7"/>
        <v>94729770.2682511</v>
      </c>
      <c r="F74" s="33">
        <f t="shared" si="8"/>
        <v>230119710.617696</v>
      </c>
      <c r="G74" s="33">
        <f t="shared" si="9"/>
        <v>88721110.1941184</v>
      </c>
      <c r="H74" s="33">
        <f t="shared" si="10"/>
        <v>214534793.85511</v>
      </c>
      <c r="I74" s="33">
        <f t="shared" si="11"/>
        <v>82712450.1199856</v>
      </c>
      <c r="J74" s="33">
        <f t="shared" si="12"/>
        <v>183364960.329938</v>
      </c>
      <c r="K74" s="33">
        <f t="shared" si="13"/>
        <v>70695129.97172</v>
      </c>
      <c r="L74" s="33">
        <f t="shared" si="14"/>
        <v>136610210.042181</v>
      </c>
      <c r="M74" s="33">
        <f t="shared" si="15"/>
        <v>52669149.7493217</v>
      </c>
      <c r="N74" s="32">
        <f t="shared" si="16"/>
        <v>36255034.7787001</v>
      </c>
      <c r="O74" s="32">
        <f t="shared" si="17"/>
        <v>13977885.3669621</v>
      </c>
    </row>
    <row r="75" spans="1:15">
      <c r="A75" s="1">
        <v>11</v>
      </c>
      <c r="B75" s="33">
        <f t="shared" si="19"/>
        <v>396341435.093574</v>
      </c>
      <c r="C75" s="33">
        <f t="shared" si="5"/>
        <v>138915255.111998</v>
      </c>
      <c r="D75" s="33">
        <f t="shared" si="6"/>
        <v>380698990.103139</v>
      </c>
      <c r="E75" s="33">
        <f t="shared" si="7"/>
        <v>133432673.569877</v>
      </c>
      <c r="F75" s="33">
        <f t="shared" si="8"/>
        <v>365056545.112704</v>
      </c>
      <c r="G75" s="33">
        <f t="shared" si="9"/>
        <v>127950092.027756</v>
      </c>
      <c r="H75" s="33">
        <f t="shared" si="10"/>
        <v>349414100.122269</v>
      </c>
      <c r="I75" s="33">
        <f t="shared" si="11"/>
        <v>122467510.485636</v>
      </c>
      <c r="J75" s="33">
        <f t="shared" si="12"/>
        <v>318129210.141398</v>
      </c>
      <c r="K75" s="33">
        <f t="shared" si="13"/>
        <v>111502347.401394</v>
      </c>
      <c r="L75" s="33">
        <f t="shared" si="14"/>
        <v>271201875.170092</v>
      </c>
      <c r="M75" s="33">
        <f t="shared" si="15"/>
        <v>95054602.7750313</v>
      </c>
      <c r="N75" s="32">
        <f t="shared" si="16"/>
        <v>170476261.265432</v>
      </c>
      <c r="O75" s="32">
        <f t="shared" si="17"/>
        <v>59750889.5799298</v>
      </c>
    </row>
    <row r="76" spans="1:15">
      <c r="A76" s="1">
        <v>12</v>
      </c>
      <c r="B76" s="33">
        <f t="shared" si="19"/>
        <v>405831167.422111</v>
      </c>
      <c r="C76" s="33">
        <f t="shared" si="5"/>
        <v>129310316.728056</v>
      </c>
      <c r="D76" s="33">
        <f t="shared" si="6"/>
        <v>390132132.459817</v>
      </c>
      <c r="E76" s="33">
        <f t="shared" si="7"/>
        <v>124308120.380757</v>
      </c>
      <c r="F76" s="33">
        <f t="shared" si="8"/>
        <v>374433097.497524</v>
      </c>
      <c r="G76" s="33">
        <f t="shared" si="9"/>
        <v>119305924.033458</v>
      </c>
      <c r="H76" s="33">
        <f t="shared" si="10"/>
        <v>358734062.53523</v>
      </c>
      <c r="I76" s="33">
        <f t="shared" si="11"/>
        <v>114303727.686159</v>
      </c>
      <c r="J76" s="33">
        <f t="shared" si="12"/>
        <v>327335992.610644</v>
      </c>
      <c r="K76" s="33">
        <f t="shared" si="13"/>
        <v>104299334.991561</v>
      </c>
      <c r="L76" s="33">
        <f t="shared" si="14"/>
        <v>280238887.723763</v>
      </c>
      <c r="M76" s="33">
        <f t="shared" si="15"/>
        <v>89292745.9496634</v>
      </c>
      <c r="N76" s="32">
        <f t="shared" si="16"/>
        <v>179148876.842815</v>
      </c>
      <c r="O76" s="32">
        <f t="shared" si="17"/>
        <v>57082353.120318</v>
      </c>
    </row>
    <row r="77" spans="1:15">
      <c r="A77" s="1">
        <v>13</v>
      </c>
      <c r="B77" s="33">
        <f t="shared" si="19"/>
        <v>365856798.354831</v>
      </c>
      <c r="C77" s="33">
        <f t="shared" si="5"/>
        <v>105975682.567903</v>
      </c>
      <c r="D77" s="33">
        <f t="shared" si="6"/>
        <v>350102372.511836</v>
      </c>
      <c r="E77" s="33">
        <f t="shared" si="7"/>
        <v>101412186.577984</v>
      </c>
      <c r="F77" s="33">
        <f t="shared" si="8"/>
        <v>334347946.668841</v>
      </c>
      <c r="G77" s="33">
        <f t="shared" si="9"/>
        <v>96848690.5880651</v>
      </c>
      <c r="H77" s="33">
        <f t="shared" si="10"/>
        <v>318593520.825847</v>
      </c>
      <c r="I77" s="33">
        <f t="shared" si="11"/>
        <v>92285194.5981464</v>
      </c>
      <c r="J77" s="33">
        <f t="shared" si="12"/>
        <v>287084669.139857</v>
      </c>
      <c r="K77" s="33">
        <f t="shared" si="13"/>
        <v>83158202.6183089</v>
      </c>
      <c r="L77" s="33">
        <f t="shared" si="14"/>
        <v>239821391.610873</v>
      </c>
      <c r="M77" s="33">
        <f t="shared" si="15"/>
        <v>69467714.6485527</v>
      </c>
      <c r="N77" s="32">
        <f t="shared" si="16"/>
        <v>138374705.001368</v>
      </c>
      <c r="O77" s="32">
        <f t="shared" si="17"/>
        <v>40082223.0954685</v>
      </c>
    </row>
    <row r="78" spans="1:15">
      <c r="A78" s="1">
        <v>14</v>
      </c>
      <c r="B78" s="33">
        <f t="shared" si="19"/>
        <v>424588367.664445</v>
      </c>
      <c r="C78" s="33">
        <f t="shared" si="5"/>
        <v>111807387.420849</v>
      </c>
      <c r="D78" s="33">
        <f t="shared" si="6"/>
        <v>408780371.157372</v>
      </c>
      <c r="E78" s="33">
        <f t="shared" si="7"/>
        <v>107644647.872575</v>
      </c>
      <c r="F78" s="33">
        <f t="shared" si="8"/>
        <v>392972374.650298</v>
      </c>
      <c r="G78" s="33">
        <f t="shared" si="9"/>
        <v>103481908.324302</v>
      </c>
      <c r="H78" s="33">
        <f t="shared" si="10"/>
        <v>377164378.143225</v>
      </c>
      <c r="I78" s="33">
        <f t="shared" si="11"/>
        <v>99319168.7760281</v>
      </c>
      <c r="J78" s="33">
        <f t="shared" si="12"/>
        <v>345548385.129079</v>
      </c>
      <c r="K78" s="33">
        <f t="shared" si="13"/>
        <v>90993689.6794808</v>
      </c>
      <c r="L78" s="33">
        <f t="shared" si="14"/>
        <v>298124395.60786</v>
      </c>
      <c r="M78" s="33">
        <f t="shared" si="15"/>
        <v>78505471.0346598</v>
      </c>
      <c r="N78" s="32">
        <f t="shared" si="16"/>
        <v>196332754.09969</v>
      </c>
      <c r="O78" s="32">
        <f t="shared" si="17"/>
        <v>51700550.3984385</v>
      </c>
    </row>
    <row r="79" spans="1:15">
      <c r="A79" s="1">
        <v>15</v>
      </c>
      <c r="B79" s="33">
        <f t="shared" si="19"/>
        <v>433821220.304769</v>
      </c>
      <c r="C79" s="33">
        <f t="shared" si="5"/>
        <v>103853350.98859</v>
      </c>
      <c r="D79" s="33">
        <f t="shared" si="6"/>
        <v>417962282.126906</v>
      </c>
      <c r="E79" s="33">
        <f t="shared" si="7"/>
        <v>100056847.277372</v>
      </c>
      <c r="F79" s="33">
        <f t="shared" si="8"/>
        <v>402103343.949042</v>
      </c>
      <c r="G79" s="33">
        <f t="shared" si="9"/>
        <v>96260343.5661548</v>
      </c>
      <c r="H79" s="33">
        <f t="shared" si="10"/>
        <v>386244405.771178</v>
      </c>
      <c r="I79" s="33">
        <f t="shared" si="11"/>
        <v>92463839.8549371</v>
      </c>
      <c r="J79" s="33">
        <f t="shared" si="12"/>
        <v>354526529.415451</v>
      </c>
      <c r="K79" s="33">
        <f t="shared" si="13"/>
        <v>84870832.4325018</v>
      </c>
      <c r="L79" s="33">
        <f t="shared" si="14"/>
        <v>306949714.88186</v>
      </c>
      <c r="M79" s="33">
        <f t="shared" si="15"/>
        <v>73481321.2988488</v>
      </c>
      <c r="N79" s="32">
        <f t="shared" si="16"/>
        <v>204830047.220051</v>
      </c>
      <c r="O79" s="32">
        <f t="shared" si="17"/>
        <v>49034684.7763905</v>
      </c>
    </row>
    <row r="80" spans="1:15">
      <c r="A80" s="1">
        <v>16</v>
      </c>
      <c r="B80" s="33">
        <f t="shared" si="19"/>
        <v>441178109.645558</v>
      </c>
      <c r="C80" s="33">
        <f t="shared" si="5"/>
        <v>96013210.7316941</v>
      </c>
      <c r="D80" s="33">
        <f t="shared" si="6"/>
        <v>425271673.196391</v>
      </c>
      <c r="E80" s="33">
        <f t="shared" si="7"/>
        <v>92551506.7137611</v>
      </c>
      <c r="F80" s="33">
        <f t="shared" si="8"/>
        <v>409365236.747225</v>
      </c>
      <c r="G80" s="33">
        <f t="shared" si="9"/>
        <v>89089802.6958281</v>
      </c>
      <c r="H80" s="33">
        <f t="shared" si="10"/>
        <v>393458800.298059</v>
      </c>
      <c r="I80" s="33">
        <f t="shared" si="11"/>
        <v>85628098.6778951</v>
      </c>
      <c r="J80" s="33">
        <f t="shared" si="12"/>
        <v>361645927.399726</v>
      </c>
      <c r="K80" s="33">
        <f t="shared" si="13"/>
        <v>78704690.6420292</v>
      </c>
      <c r="L80" s="33">
        <f t="shared" si="14"/>
        <v>313926618.052227</v>
      </c>
      <c r="M80" s="33">
        <f t="shared" si="15"/>
        <v>68319578.5882302</v>
      </c>
      <c r="N80" s="32">
        <f t="shared" si="16"/>
        <v>211501097.146932</v>
      </c>
      <c r="O80" s="32">
        <f t="shared" si="17"/>
        <v>46028800.9907551</v>
      </c>
    </row>
    <row r="81" spans="1:15">
      <c r="A81" s="1">
        <v>17</v>
      </c>
      <c r="B81" s="33">
        <f t="shared" si="19"/>
        <v>224207056.838765</v>
      </c>
      <c r="C81" s="33">
        <f t="shared" si="5"/>
        <v>44358170.9253393</v>
      </c>
      <c r="D81" s="33">
        <f t="shared" si="6"/>
        <v>208257269.209778</v>
      </c>
      <c r="E81" s="33">
        <f t="shared" si="7"/>
        <v>41202590.4728547</v>
      </c>
      <c r="F81" s="33">
        <f t="shared" si="8"/>
        <v>192307481.58079</v>
      </c>
      <c r="G81" s="33">
        <f t="shared" si="9"/>
        <v>38047010.0203702</v>
      </c>
      <c r="H81" s="33">
        <f t="shared" si="10"/>
        <v>176357693.951802</v>
      </c>
      <c r="I81" s="33">
        <f t="shared" si="11"/>
        <v>34891429.5678857</v>
      </c>
      <c r="J81" s="33">
        <f t="shared" si="12"/>
        <v>144458118.693827</v>
      </c>
      <c r="K81" s="33">
        <f t="shared" si="13"/>
        <v>28580268.6629167</v>
      </c>
      <c r="L81" s="33">
        <f t="shared" si="14"/>
        <v>96608755.8068647</v>
      </c>
      <c r="M81" s="33">
        <f t="shared" si="15"/>
        <v>19113527.3054631</v>
      </c>
      <c r="N81" s="32">
        <f t="shared" si="16"/>
        <v>-6095914.18309355</v>
      </c>
      <c r="O81" s="32">
        <f t="shared" si="17"/>
        <v>-1206044.12319778</v>
      </c>
    </row>
    <row r="82" spans="1:15">
      <c r="A82" s="1">
        <v>18</v>
      </c>
      <c r="B82" s="33">
        <f t="shared" si="19"/>
        <v>444964297.932513</v>
      </c>
      <c r="C82" s="33">
        <f t="shared" si="5"/>
        <v>80030740.1789445</v>
      </c>
      <c r="D82" s="33">
        <f t="shared" si="6"/>
        <v>428975531.396623</v>
      </c>
      <c r="E82" s="33">
        <f t="shared" si="7"/>
        <v>77155019.9776585</v>
      </c>
      <c r="F82" s="33">
        <f t="shared" si="8"/>
        <v>412986764.860734</v>
      </c>
      <c r="G82" s="33">
        <f t="shared" si="9"/>
        <v>74279299.7763726</v>
      </c>
      <c r="H82" s="33">
        <f t="shared" si="10"/>
        <v>396997998.324844</v>
      </c>
      <c r="I82" s="33">
        <f t="shared" si="11"/>
        <v>71403579.5750866</v>
      </c>
      <c r="J82" s="33">
        <f t="shared" si="12"/>
        <v>365020465.253066</v>
      </c>
      <c r="K82" s="33">
        <f t="shared" si="13"/>
        <v>65652139.1725146</v>
      </c>
      <c r="L82" s="33">
        <f t="shared" si="14"/>
        <v>317054165.645398</v>
      </c>
      <c r="M82" s="33">
        <f t="shared" si="15"/>
        <v>57024978.5686566</v>
      </c>
      <c r="N82" s="32">
        <f t="shared" si="16"/>
        <v>214098500.729172</v>
      </c>
      <c r="O82" s="32">
        <f t="shared" si="17"/>
        <v>38507497.2625257</v>
      </c>
    </row>
    <row r="83" spans="1:15">
      <c r="A83" s="1">
        <v>19</v>
      </c>
      <c r="B83" s="33">
        <f t="shared" si="19"/>
        <v>469402607.099702</v>
      </c>
      <c r="C83" s="33">
        <f t="shared" si="5"/>
        <v>76751077.1756204</v>
      </c>
      <c r="D83" s="33">
        <f t="shared" si="6"/>
        <v>453379250.818438</v>
      </c>
      <c r="E83" s="33">
        <f t="shared" si="7"/>
        <v>74131130.3837728</v>
      </c>
      <c r="F83" s="33">
        <f t="shared" si="8"/>
        <v>437355894.537174</v>
      </c>
      <c r="G83" s="33">
        <f t="shared" si="9"/>
        <v>71511183.5919252</v>
      </c>
      <c r="H83" s="33">
        <f t="shared" si="10"/>
        <v>421332538.25591</v>
      </c>
      <c r="I83" s="33">
        <f t="shared" si="11"/>
        <v>68891236.8000776</v>
      </c>
      <c r="J83" s="33">
        <f t="shared" si="12"/>
        <v>389285825.693382</v>
      </c>
      <c r="K83" s="33">
        <f t="shared" si="13"/>
        <v>63651343.2163825</v>
      </c>
      <c r="L83" s="33">
        <f t="shared" si="14"/>
        <v>341215756.84959</v>
      </c>
      <c r="M83" s="33">
        <f t="shared" si="15"/>
        <v>55791502.8408397</v>
      </c>
      <c r="N83" s="32">
        <f t="shared" si="16"/>
        <v>238037359.915461</v>
      </c>
      <c r="O83" s="32">
        <f t="shared" si="17"/>
        <v>38921010.4614352</v>
      </c>
    </row>
    <row r="84" spans="1:15">
      <c r="A84" s="1">
        <v>20</v>
      </c>
      <c r="B84" s="33">
        <f t="shared" si="19"/>
        <v>477980312.117298</v>
      </c>
      <c r="C84" s="33">
        <f t="shared" si="5"/>
        <v>71048727.7172277</v>
      </c>
      <c r="D84" s="33">
        <f t="shared" si="6"/>
        <v>461926363.061183</v>
      </c>
      <c r="E84" s="33">
        <f t="shared" si="7"/>
        <v>68662410.4854119</v>
      </c>
      <c r="F84" s="33">
        <f t="shared" si="8"/>
        <v>445872414.005067</v>
      </c>
      <c r="G84" s="33">
        <f t="shared" si="9"/>
        <v>66276093.2535961</v>
      </c>
      <c r="H84" s="33">
        <f t="shared" si="10"/>
        <v>429818464.948951</v>
      </c>
      <c r="I84" s="33">
        <f t="shared" si="11"/>
        <v>63889776.0217803</v>
      </c>
      <c r="J84" s="33">
        <f t="shared" si="12"/>
        <v>397710566.83672</v>
      </c>
      <c r="K84" s="33">
        <f t="shared" si="13"/>
        <v>59117141.5581486</v>
      </c>
      <c r="L84" s="33">
        <f t="shared" si="14"/>
        <v>349548719.668373</v>
      </c>
      <c r="M84" s="33">
        <f t="shared" si="15"/>
        <v>51958189.8627012</v>
      </c>
      <c r="N84" s="32">
        <f t="shared" si="16"/>
        <v>246173328.208779</v>
      </c>
      <c r="O84" s="32">
        <f t="shared" si="17"/>
        <v>36592096.6277312</v>
      </c>
    </row>
    <row r="85" spans="1:15">
      <c r="A85" s="1">
        <v>21</v>
      </c>
      <c r="B85" s="33">
        <f t="shared" si="19"/>
        <v>486468237.073742</v>
      </c>
      <c r="C85" s="33">
        <f t="shared" si="5"/>
        <v>65736730.615591</v>
      </c>
      <c r="D85" s="33">
        <f t="shared" si="6"/>
        <v>470387341.305557</v>
      </c>
      <c r="E85" s="33">
        <f t="shared" si="7"/>
        <v>63563709.9893536</v>
      </c>
      <c r="F85" s="33">
        <f t="shared" si="8"/>
        <v>454306445.537371</v>
      </c>
      <c r="G85" s="33">
        <f t="shared" si="9"/>
        <v>61390689.3631162</v>
      </c>
      <c r="H85" s="33">
        <f t="shared" si="10"/>
        <v>438225549.769186</v>
      </c>
      <c r="I85" s="33">
        <f t="shared" si="11"/>
        <v>59217668.7368788</v>
      </c>
      <c r="J85" s="33">
        <f t="shared" si="12"/>
        <v>406063758.232815</v>
      </c>
      <c r="K85" s="33">
        <f t="shared" si="13"/>
        <v>54871627.4844039</v>
      </c>
      <c r="L85" s="33">
        <f t="shared" si="14"/>
        <v>357821070.928259</v>
      </c>
      <c r="M85" s="33">
        <f t="shared" si="15"/>
        <v>48352565.6056916</v>
      </c>
      <c r="N85" s="32">
        <f t="shared" si="16"/>
        <v>254272162.852972</v>
      </c>
      <c r="O85" s="32">
        <f t="shared" si="17"/>
        <v>34359942.5381923</v>
      </c>
    </row>
    <row r="86" spans="1:15">
      <c r="A86" s="1">
        <v>22</v>
      </c>
      <c r="B86" s="33">
        <f t="shared" si="19"/>
        <v>306160743.196611</v>
      </c>
      <c r="C86" s="33">
        <f t="shared" si="5"/>
        <v>37610614.5680267</v>
      </c>
      <c r="D86" s="33">
        <f t="shared" si="6"/>
        <v>290056017.602759</v>
      </c>
      <c r="E86" s="33">
        <f t="shared" si="7"/>
        <v>35632213.8733132</v>
      </c>
      <c r="F86" s="33">
        <f t="shared" si="8"/>
        <v>273951292.008907</v>
      </c>
      <c r="G86" s="33">
        <f t="shared" si="9"/>
        <v>33653813.1785996</v>
      </c>
      <c r="H86" s="33">
        <f t="shared" si="10"/>
        <v>257846566.415055</v>
      </c>
      <c r="I86" s="33">
        <f t="shared" si="11"/>
        <v>31675412.483886</v>
      </c>
      <c r="J86" s="33">
        <f t="shared" si="12"/>
        <v>225637115.227351</v>
      </c>
      <c r="K86" s="33">
        <f t="shared" si="13"/>
        <v>27718611.0944589</v>
      </c>
      <c r="L86" s="33">
        <f t="shared" si="14"/>
        <v>177322938.445796</v>
      </c>
      <c r="M86" s="33">
        <f t="shared" si="15"/>
        <v>21783409.0103181</v>
      </c>
      <c r="N86" s="32">
        <f t="shared" si="16"/>
        <v>73620584.1655845</v>
      </c>
      <c r="O86" s="32">
        <f t="shared" si="17"/>
        <v>9043992.33688371</v>
      </c>
    </row>
    <row r="87" spans="1:15">
      <c r="A87" s="1">
        <v>23</v>
      </c>
      <c r="B87" s="33">
        <f t="shared" si="19"/>
        <v>453916125.582642</v>
      </c>
      <c r="C87" s="33">
        <f t="shared" si="5"/>
        <v>50692516.6981718</v>
      </c>
      <c r="D87" s="33">
        <f t="shared" si="6"/>
        <v>437790167.255708</v>
      </c>
      <c r="E87" s="33">
        <f t="shared" si="7"/>
        <v>48891599.3795529</v>
      </c>
      <c r="F87" s="33">
        <f t="shared" si="8"/>
        <v>421664208.928773</v>
      </c>
      <c r="G87" s="33">
        <f t="shared" si="9"/>
        <v>47090682.0609341</v>
      </c>
      <c r="H87" s="33">
        <f t="shared" si="10"/>
        <v>405538250.601838</v>
      </c>
      <c r="I87" s="33">
        <f t="shared" si="11"/>
        <v>45289764.7423152</v>
      </c>
      <c r="J87" s="33">
        <f t="shared" si="12"/>
        <v>373286333.947969</v>
      </c>
      <c r="K87" s="33">
        <f t="shared" si="13"/>
        <v>41687930.1050775</v>
      </c>
      <c r="L87" s="33">
        <f t="shared" si="14"/>
        <v>324908458.967165</v>
      </c>
      <c r="M87" s="33">
        <f t="shared" si="15"/>
        <v>36285178.1492209</v>
      </c>
      <c r="N87" s="32">
        <f t="shared" si="16"/>
        <v>221069381.810451</v>
      </c>
      <c r="O87" s="32">
        <f t="shared" si="17"/>
        <v>24688621.3053043</v>
      </c>
    </row>
    <row r="88" spans="1:15">
      <c r="A88" s="1">
        <v>24</v>
      </c>
      <c r="B88" s="33">
        <f t="shared" si="19"/>
        <v>509975454.655534</v>
      </c>
      <c r="C88" s="33">
        <f t="shared" si="5"/>
        <v>51775562.9965581</v>
      </c>
      <c r="D88" s="33">
        <f t="shared" si="6"/>
        <v>493830389.683593</v>
      </c>
      <c r="E88" s="33">
        <f t="shared" si="7"/>
        <v>50136425.6206173</v>
      </c>
      <c r="F88" s="33">
        <f t="shared" si="8"/>
        <v>477685324.711652</v>
      </c>
      <c r="G88" s="33">
        <f t="shared" si="9"/>
        <v>48497288.2446766</v>
      </c>
      <c r="H88" s="33">
        <f t="shared" si="10"/>
        <v>461540259.739711</v>
      </c>
      <c r="I88" s="33">
        <f t="shared" si="11"/>
        <v>46858150.8687359</v>
      </c>
      <c r="J88" s="33">
        <f t="shared" si="12"/>
        <v>429250129.795829</v>
      </c>
      <c r="K88" s="33">
        <f t="shared" si="13"/>
        <v>43579876.1168544</v>
      </c>
      <c r="L88" s="33">
        <f t="shared" si="14"/>
        <v>380814934.880006</v>
      </c>
      <c r="M88" s="33">
        <f t="shared" si="15"/>
        <v>38662463.9890321</v>
      </c>
      <c r="N88" s="32">
        <f t="shared" si="16"/>
        <v>276852825.259434</v>
      </c>
      <c r="O88" s="32">
        <f t="shared" si="17"/>
        <v>28107648.6410057</v>
      </c>
    </row>
    <row r="89" spans="1:15">
      <c r="A89" s="1">
        <v>25</v>
      </c>
      <c r="B89" s="33">
        <f t="shared" si="19"/>
        <v>520168622.903895</v>
      </c>
      <c r="C89" s="33">
        <f t="shared" si="5"/>
        <v>48009482.2713038</v>
      </c>
      <c r="D89" s="33">
        <f t="shared" si="6"/>
        <v>504006247.108915</v>
      </c>
      <c r="E89" s="33">
        <f t="shared" si="7"/>
        <v>46517759.6643933</v>
      </c>
      <c r="F89" s="33">
        <f t="shared" si="8"/>
        <v>487843871.313935</v>
      </c>
      <c r="G89" s="33">
        <f t="shared" si="9"/>
        <v>45026037.0574828</v>
      </c>
      <c r="H89" s="33">
        <f t="shared" si="10"/>
        <v>471681495.518954</v>
      </c>
      <c r="I89" s="33">
        <f t="shared" si="11"/>
        <v>43534314.4505723</v>
      </c>
      <c r="J89" s="33">
        <f t="shared" si="12"/>
        <v>439356743.928994</v>
      </c>
      <c r="K89" s="33">
        <f t="shared" si="13"/>
        <v>40550869.2367512</v>
      </c>
      <c r="L89" s="33">
        <f t="shared" si="14"/>
        <v>390869616.544053</v>
      </c>
      <c r="M89" s="33">
        <f t="shared" si="15"/>
        <v>36075701.4160197</v>
      </c>
      <c r="N89" s="32">
        <f t="shared" si="16"/>
        <v>286796038.206226</v>
      </c>
      <c r="O89" s="32">
        <f t="shared" si="17"/>
        <v>26470126.6194711</v>
      </c>
    </row>
    <row r="90" spans="1:15">
      <c r="A90" s="1">
        <v>26</v>
      </c>
      <c r="B90" s="33">
        <f t="shared" si="19"/>
        <v>514657875.798278</v>
      </c>
      <c r="C90" s="33">
        <f t="shared" si="5"/>
        <v>43182602.1513541</v>
      </c>
      <c r="D90" s="33">
        <f t="shared" si="6"/>
        <v>498479778.585908</v>
      </c>
      <c r="E90" s="33">
        <f t="shared" si="7"/>
        <v>41825171.5778802</v>
      </c>
      <c r="F90" s="33">
        <f t="shared" si="8"/>
        <v>482301681.373538</v>
      </c>
      <c r="G90" s="33">
        <f t="shared" si="9"/>
        <v>40467741.0044064</v>
      </c>
      <c r="H90" s="33">
        <f t="shared" si="10"/>
        <v>466123584.161168</v>
      </c>
      <c r="I90" s="33">
        <f t="shared" si="11"/>
        <v>39110310.4309325</v>
      </c>
      <c r="J90" s="33">
        <f t="shared" si="12"/>
        <v>433767389.736427</v>
      </c>
      <c r="K90" s="33">
        <f t="shared" si="13"/>
        <v>36395449.2839847</v>
      </c>
      <c r="L90" s="33">
        <f t="shared" si="14"/>
        <v>385233098.099317</v>
      </c>
      <c r="M90" s="33">
        <f t="shared" si="15"/>
        <v>32323157.563563</v>
      </c>
      <c r="N90" s="32">
        <f t="shared" si="16"/>
        <v>281058285.624562</v>
      </c>
      <c r="O90" s="32">
        <f t="shared" si="17"/>
        <v>23582322.7433212</v>
      </c>
    </row>
    <row r="91" spans="1:15">
      <c r="A91" s="1">
        <v>27</v>
      </c>
      <c r="B91" s="33">
        <f t="shared" si="19"/>
        <v>537202036.146023</v>
      </c>
      <c r="C91" s="33">
        <f t="shared" si="5"/>
        <v>40976527.3957425</v>
      </c>
      <c r="D91" s="33">
        <f t="shared" si="6"/>
        <v>521009825.687032</v>
      </c>
      <c r="E91" s="33">
        <f t="shared" si="7"/>
        <v>39741423.0759031</v>
      </c>
      <c r="F91" s="33">
        <f t="shared" si="8"/>
        <v>504817615.228041</v>
      </c>
      <c r="G91" s="33">
        <f t="shared" si="9"/>
        <v>38506318.7560637</v>
      </c>
      <c r="H91" s="33">
        <f t="shared" si="10"/>
        <v>488625404.76905</v>
      </c>
      <c r="I91" s="33">
        <f t="shared" si="11"/>
        <v>37271214.4362243</v>
      </c>
      <c r="J91" s="33">
        <f t="shared" si="12"/>
        <v>456240983.851068</v>
      </c>
      <c r="K91" s="33">
        <f t="shared" si="13"/>
        <v>34801005.7965455</v>
      </c>
      <c r="L91" s="33">
        <f t="shared" si="14"/>
        <v>407664352.474095</v>
      </c>
      <c r="M91" s="33">
        <f t="shared" si="15"/>
        <v>31095692.8370273</v>
      </c>
      <c r="N91" s="32">
        <f t="shared" si="16"/>
        <v>303398661.276036</v>
      </c>
      <c r="O91" s="32">
        <f t="shared" si="17"/>
        <v>23142547.3455014</v>
      </c>
    </row>
    <row r="92" spans="1:15">
      <c r="A92" s="1">
        <v>28</v>
      </c>
      <c r="B92" s="33">
        <f t="shared" si="19"/>
        <v>544055032.394364</v>
      </c>
      <c r="C92" s="33">
        <f t="shared" si="5"/>
        <v>37726598.2555167</v>
      </c>
      <c r="D92" s="33">
        <f t="shared" si="6"/>
        <v>527850459.474432</v>
      </c>
      <c r="E92" s="33">
        <f t="shared" si="7"/>
        <v>36602918.8921222</v>
      </c>
      <c r="F92" s="33">
        <f t="shared" si="8"/>
        <v>511645886.5545</v>
      </c>
      <c r="G92" s="33">
        <f t="shared" si="9"/>
        <v>35479239.5287276</v>
      </c>
      <c r="H92" s="33">
        <f t="shared" si="10"/>
        <v>495441313.634568</v>
      </c>
      <c r="I92" s="33">
        <f t="shared" si="11"/>
        <v>34355560.165333</v>
      </c>
      <c r="J92" s="33">
        <f t="shared" si="12"/>
        <v>463032167.794703</v>
      </c>
      <c r="K92" s="33">
        <f t="shared" si="13"/>
        <v>32108201.4385439</v>
      </c>
      <c r="L92" s="33">
        <f t="shared" si="14"/>
        <v>414418449.034907</v>
      </c>
      <c r="M92" s="33">
        <f t="shared" si="15"/>
        <v>28737163.3483602</v>
      </c>
      <c r="N92" s="32">
        <f t="shared" si="16"/>
        <v>310073152.860233</v>
      </c>
      <c r="O92" s="32">
        <f t="shared" si="17"/>
        <v>21501511.0076218</v>
      </c>
    </row>
    <row r="93" spans="1:15">
      <c r="A93" s="1">
        <v>29</v>
      </c>
      <c r="B93" s="33">
        <f t="shared" si="19"/>
        <v>554461051.868654</v>
      </c>
      <c r="C93" s="33">
        <f t="shared" si="5"/>
        <v>34952896.81888</v>
      </c>
      <c r="D93" s="33">
        <f t="shared" si="6"/>
        <v>538246265.094</v>
      </c>
      <c r="E93" s="33">
        <f t="shared" si="7"/>
        <v>33930726.2495235</v>
      </c>
      <c r="F93" s="33">
        <f t="shared" si="8"/>
        <v>522031478.319347</v>
      </c>
      <c r="G93" s="33">
        <f t="shared" si="9"/>
        <v>32908555.680167</v>
      </c>
      <c r="H93" s="33">
        <f t="shared" si="10"/>
        <v>505816691.544694</v>
      </c>
      <c r="I93" s="33">
        <f t="shared" si="11"/>
        <v>31886385.1108105</v>
      </c>
      <c r="J93" s="33">
        <f t="shared" si="12"/>
        <v>473387117.995387</v>
      </c>
      <c r="K93" s="33">
        <f t="shared" si="13"/>
        <v>29842043.9720974</v>
      </c>
      <c r="L93" s="33">
        <f t="shared" si="14"/>
        <v>424742757.671427</v>
      </c>
      <c r="M93" s="33">
        <f t="shared" si="15"/>
        <v>26775532.2640279</v>
      </c>
      <c r="N93" s="32">
        <f t="shared" si="16"/>
        <v>320331691.932741</v>
      </c>
      <c r="O93" s="32">
        <f t="shared" si="17"/>
        <v>20193520.4252989</v>
      </c>
    </row>
    <row r="94" spans="1:15">
      <c r="A94" s="1">
        <v>30</v>
      </c>
      <c r="B94" s="33">
        <f t="shared" si="19"/>
        <v>399912117.211147</v>
      </c>
      <c r="C94" s="33">
        <f t="shared" si="5"/>
        <v>22918384.884978</v>
      </c>
      <c r="D94" s="33">
        <f t="shared" si="6"/>
        <v>383689781.228788</v>
      </c>
      <c r="E94" s="33">
        <f t="shared" si="7"/>
        <v>21988706.2786635</v>
      </c>
      <c r="F94" s="33">
        <f t="shared" si="8"/>
        <v>367467445.246429</v>
      </c>
      <c r="G94" s="33">
        <f t="shared" si="9"/>
        <v>21059027.672349</v>
      </c>
      <c r="H94" s="33">
        <f t="shared" si="10"/>
        <v>351245109.26407</v>
      </c>
      <c r="I94" s="33">
        <f t="shared" si="11"/>
        <v>20129349.0660345</v>
      </c>
      <c r="J94" s="33">
        <f t="shared" si="12"/>
        <v>318800437.299351</v>
      </c>
      <c r="K94" s="33">
        <f t="shared" si="13"/>
        <v>18269991.8534055</v>
      </c>
      <c r="L94" s="33">
        <f t="shared" si="14"/>
        <v>270133429.352274</v>
      </c>
      <c r="M94" s="33">
        <f t="shared" si="15"/>
        <v>15480956.0344621</v>
      </c>
      <c r="N94" s="32">
        <f t="shared" si="16"/>
        <v>165673752.377868</v>
      </c>
      <c r="O94" s="32">
        <f t="shared" si="17"/>
        <v>9494523.06875154</v>
      </c>
    </row>
    <row r="95" spans="1:15">
      <c r="A95" s="1">
        <v>31</v>
      </c>
      <c r="B95" s="33">
        <f t="shared" si="19"/>
        <v>571893683.559394</v>
      </c>
      <c r="C95" s="33">
        <f t="shared" si="5"/>
        <v>29794908.7698771</v>
      </c>
      <c r="D95" s="33">
        <f t="shared" si="6"/>
        <v>555666930.267828</v>
      </c>
      <c r="E95" s="33">
        <f t="shared" si="7"/>
        <v>28949516.2645002</v>
      </c>
      <c r="F95" s="33">
        <f t="shared" si="8"/>
        <v>539440176.976262</v>
      </c>
      <c r="G95" s="33">
        <f t="shared" si="9"/>
        <v>28104123.7591233</v>
      </c>
      <c r="H95" s="33">
        <f t="shared" si="10"/>
        <v>523213423.684696</v>
      </c>
      <c r="I95" s="33">
        <f t="shared" si="11"/>
        <v>27258731.2537463</v>
      </c>
      <c r="J95" s="33">
        <f t="shared" si="12"/>
        <v>490759917.101564</v>
      </c>
      <c r="K95" s="33">
        <f t="shared" si="13"/>
        <v>25567946.2429925</v>
      </c>
      <c r="L95" s="33">
        <f t="shared" si="14"/>
        <v>442079657.226865</v>
      </c>
      <c r="M95" s="33">
        <f t="shared" si="15"/>
        <v>23031768.7268617</v>
      </c>
      <c r="N95" s="32">
        <f t="shared" si="16"/>
        <v>337591536.094149</v>
      </c>
      <c r="O95" s="32">
        <f t="shared" si="17"/>
        <v>17588075.0366133</v>
      </c>
    </row>
    <row r="96" spans="1:15">
      <c r="A96" s="1">
        <v>32</v>
      </c>
      <c r="B96" s="33">
        <f t="shared" si="19"/>
        <v>578911929.755119</v>
      </c>
      <c r="C96" s="33">
        <f t="shared" si="5"/>
        <v>27418681.9694655</v>
      </c>
      <c r="D96" s="33">
        <f t="shared" si="6"/>
        <v>562684161.27057</v>
      </c>
      <c r="E96" s="33">
        <f t="shared" si="7"/>
        <v>26650095.2461962</v>
      </c>
      <c r="F96" s="33">
        <f t="shared" si="8"/>
        <v>546456392.786021</v>
      </c>
      <c r="G96" s="33">
        <f t="shared" si="9"/>
        <v>25881508.522927</v>
      </c>
      <c r="H96" s="33">
        <f t="shared" si="10"/>
        <v>530228624.301473</v>
      </c>
      <c r="I96" s="33">
        <f t="shared" si="11"/>
        <v>25112921.7996578</v>
      </c>
      <c r="J96" s="33">
        <f t="shared" si="12"/>
        <v>497773087.332375</v>
      </c>
      <c r="K96" s="33">
        <f t="shared" si="13"/>
        <v>23575748.3531193</v>
      </c>
      <c r="L96" s="33">
        <f t="shared" si="14"/>
        <v>449089781.878729</v>
      </c>
      <c r="M96" s="33">
        <f t="shared" si="15"/>
        <v>21269988.1833116</v>
      </c>
      <c r="N96" s="32">
        <f t="shared" si="16"/>
        <v>344595123.664599</v>
      </c>
      <c r="O96" s="32">
        <f t="shared" si="17"/>
        <v>16320866.1255002</v>
      </c>
    </row>
    <row r="97" spans="1:15">
      <c r="A97" s="1">
        <v>33</v>
      </c>
      <c r="B97" s="33">
        <f t="shared" si="19"/>
        <v>540074543.386051</v>
      </c>
      <c r="C97" s="33">
        <f t="shared" si="5"/>
        <v>23253862.3262535</v>
      </c>
      <c r="D97" s="33">
        <f t="shared" si="6"/>
        <v>523849311.945703</v>
      </c>
      <c r="E97" s="33">
        <f t="shared" si="7"/>
        <v>22555256.3601957</v>
      </c>
      <c r="F97" s="33">
        <f t="shared" si="8"/>
        <v>507624080.505355</v>
      </c>
      <c r="G97" s="33">
        <f t="shared" si="9"/>
        <v>21856650.3941379</v>
      </c>
      <c r="H97" s="33">
        <f t="shared" si="10"/>
        <v>491398849.065006</v>
      </c>
      <c r="I97" s="33">
        <f t="shared" si="11"/>
        <v>21158044.42808</v>
      </c>
      <c r="J97" s="33">
        <f t="shared" si="12"/>
        <v>458948386.18431</v>
      </c>
      <c r="K97" s="33">
        <f t="shared" si="13"/>
        <v>19760832.4959643</v>
      </c>
      <c r="L97" s="33">
        <f t="shared" si="14"/>
        <v>410272691.863265</v>
      </c>
      <c r="M97" s="33">
        <f t="shared" si="15"/>
        <v>17665014.5977908</v>
      </c>
      <c r="N97" s="32">
        <f t="shared" si="16"/>
        <v>305794370.311003</v>
      </c>
      <c r="O97" s="32">
        <f t="shared" si="17"/>
        <v>13166516.1308529</v>
      </c>
    </row>
    <row r="98" spans="1:15">
      <c r="A98" s="1">
        <v>34</v>
      </c>
      <c r="B98" s="33">
        <f t="shared" si="19"/>
        <v>584328458.896666</v>
      </c>
      <c r="C98" s="33">
        <f t="shared" si="5"/>
        <v>22872084.3057639</v>
      </c>
      <c r="D98" s="33">
        <f t="shared" si="6"/>
        <v>568109228.541638</v>
      </c>
      <c r="E98" s="33">
        <f t="shared" si="7"/>
        <v>22237222.8705443</v>
      </c>
      <c r="F98" s="33">
        <f t="shared" si="8"/>
        <v>551889998.18661</v>
      </c>
      <c r="G98" s="33">
        <f t="shared" si="9"/>
        <v>21602361.4353247</v>
      </c>
      <c r="H98" s="33">
        <f t="shared" si="10"/>
        <v>535670767.831582</v>
      </c>
      <c r="I98" s="33">
        <f t="shared" si="11"/>
        <v>20967500.000105</v>
      </c>
      <c r="J98" s="33">
        <f t="shared" si="12"/>
        <v>503232307.121526</v>
      </c>
      <c r="K98" s="33">
        <f t="shared" si="13"/>
        <v>19697777.1296658</v>
      </c>
      <c r="L98" s="33">
        <f t="shared" si="14"/>
        <v>454574616.056442</v>
      </c>
      <c r="M98" s="33">
        <f t="shared" si="15"/>
        <v>17793192.824007</v>
      </c>
      <c r="N98" s="32">
        <f t="shared" si="16"/>
        <v>350134936.992828</v>
      </c>
      <c r="O98" s="32">
        <f t="shared" si="17"/>
        <v>13705161.327269</v>
      </c>
    </row>
    <row r="99" spans="1:15">
      <c r="A99" s="1">
        <v>35</v>
      </c>
      <c r="B99" s="33">
        <f t="shared" si="19"/>
        <v>607259402.822267</v>
      </c>
      <c r="C99" s="33">
        <f t="shared" si="5"/>
        <v>21608780.9788671</v>
      </c>
      <c r="D99" s="33">
        <f t="shared" si="6"/>
        <v>591049393.647121</v>
      </c>
      <c r="E99" s="33">
        <f t="shared" si="7"/>
        <v>21031962.3469889</v>
      </c>
      <c r="F99" s="33">
        <f t="shared" si="8"/>
        <v>574839384.471976</v>
      </c>
      <c r="G99" s="33">
        <f t="shared" si="9"/>
        <v>20455143.7151106</v>
      </c>
      <c r="H99" s="33">
        <f t="shared" si="10"/>
        <v>558629375.29683</v>
      </c>
      <c r="I99" s="33">
        <f t="shared" si="11"/>
        <v>19878325.0832323</v>
      </c>
      <c r="J99" s="33">
        <f t="shared" si="12"/>
        <v>526209356.946539</v>
      </c>
      <c r="K99" s="33">
        <f t="shared" si="13"/>
        <v>18724687.8194758</v>
      </c>
      <c r="L99" s="33">
        <f t="shared" si="14"/>
        <v>477579329.421102</v>
      </c>
      <c r="M99" s="33">
        <f t="shared" si="15"/>
        <v>16994231.923841</v>
      </c>
      <c r="N99" s="32">
        <f t="shared" si="16"/>
        <v>373199027.840045</v>
      </c>
      <c r="O99" s="32">
        <f t="shared" si="17"/>
        <v>13279952.548519</v>
      </c>
    </row>
    <row r="100" spans="1:15">
      <c r="A100" s="1">
        <v>36</v>
      </c>
      <c r="B100" s="33">
        <f t="shared" si="19"/>
        <v>616285295.345184</v>
      </c>
      <c r="C100" s="33">
        <f t="shared" si="5"/>
        <v>19936326.6051892</v>
      </c>
      <c r="D100" s="33">
        <f t="shared" si="6"/>
        <v>600087367.154182</v>
      </c>
      <c r="E100" s="33">
        <f t="shared" si="7"/>
        <v>19412336.8407371</v>
      </c>
      <c r="F100" s="33">
        <f t="shared" si="8"/>
        <v>583889438.96318</v>
      </c>
      <c r="G100" s="33">
        <f t="shared" si="9"/>
        <v>18888347.076285</v>
      </c>
      <c r="H100" s="33">
        <f t="shared" si="10"/>
        <v>567691510.772178</v>
      </c>
      <c r="I100" s="33">
        <f t="shared" si="11"/>
        <v>18364357.3118329</v>
      </c>
      <c r="J100" s="33">
        <f t="shared" si="12"/>
        <v>535295654.390175</v>
      </c>
      <c r="K100" s="33">
        <f t="shared" si="13"/>
        <v>17316377.7829287</v>
      </c>
      <c r="L100" s="33">
        <f t="shared" si="14"/>
        <v>486701869.817169</v>
      </c>
      <c r="M100" s="33">
        <f t="shared" si="15"/>
        <v>15744408.4895724</v>
      </c>
      <c r="N100" s="32">
        <f t="shared" si="16"/>
        <v>382399360.71326</v>
      </c>
      <c r="O100" s="32">
        <f t="shared" si="17"/>
        <v>12370307.3988242</v>
      </c>
    </row>
    <row r="101" spans="1:15">
      <c r="A101" s="1">
        <v>37</v>
      </c>
      <c r="B101" s="33">
        <f t="shared" si="19"/>
        <v>625427375.298166</v>
      </c>
      <c r="C101" s="33">
        <f t="shared" si="5"/>
        <v>18392786.7586755</v>
      </c>
      <c r="D101" s="33">
        <f t="shared" si="6"/>
        <v>609244078.271093</v>
      </c>
      <c r="E101" s="33">
        <f t="shared" si="7"/>
        <v>17916862.7057359</v>
      </c>
      <c r="F101" s="33">
        <f t="shared" si="8"/>
        <v>593060781.244019</v>
      </c>
      <c r="G101" s="33">
        <f t="shared" si="9"/>
        <v>17440938.6527963</v>
      </c>
      <c r="H101" s="33">
        <f t="shared" si="10"/>
        <v>576877484.216945</v>
      </c>
      <c r="I101" s="33">
        <f t="shared" si="11"/>
        <v>16965014.5998567</v>
      </c>
      <c r="J101" s="33">
        <f t="shared" si="12"/>
        <v>544510890.162797</v>
      </c>
      <c r="K101" s="33">
        <f t="shared" si="13"/>
        <v>16013166.4939775</v>
      </c>
      <c r="L101" s="33">
        <f t="shared" si="14"/>
        <v>495960999.081575</v>
      </c>
      <c r="M101" s="33">
        <f t="shared" si="15"/>
        <v>14585394.3351587</v>
      </c>
      <c r="N101" s="32">
        <f t="shared" si="16"/>
        <v>391752703.69999</v>
      </c>
      <c r="O101" s="32">
        <f t="shared" si="17"/>
        <v>11520800.3772674</v>
      </c>
    </row>
    <row r="102" spans="1:15">
      <c r="A102" s="1">
        <v>38</v>
      </c>
      <c r="B102" s="33">
        <f t="shared" si="19"/>
        <v>632958850.568899</v>
      </c>
      <c r="C102" s="33">
        <f t="shared" si="5"/>
        <v>16922068.1951935</v>
      </c>
      <c r="D102" s="33">
        <f t="shared" si="6"/>
        <v>616792367.089189</v>
      </c>
      <c r="E102" s="33">
        <f t="shared" si="7"/>
        <v>16489859.4731348</v>
      </c>
      <c r="F102" s="33">
        <f t="shared" si="8"/>
        <v>600625883.609479</v>
      </c>
      <c r="G102" s="33">
        <f t="shared" si="9"/>
        <v>16057650.7510761</v>
      </c>
      <c r="H102" s="33">
        <f t="shared" si="10"/>
        <v>584459400.129769</v>
      </c>
      <c r="I102" s="33">
        <f t="shared" si="11"/>
        <v>15625442.0290175</v>
      </c>
      <c r="J102" s="33">
        <f t="shared" si="12"/>
        <v>552126433.170349</v>
      </c>
      <c r="K102" s="33">
        <f t="shared" si="13"/>
        <v>14761024.5849001</v>
      </c>
      <c r="L102" s="33">
        <f t="shared" si="14"/>
        <v>503626982.731219</v>
      </c>
      <c r="M102" s="33">
        <f t="shared" si="15"/>
        <v>13464398.418724</v>
      </c>
      <c r="N102" s="32">
        <f t="shared" si="16"/>
        <v>399526953.984495</v>
      </c>
      <c r="O102" s="32">
        <f t="shared" si="17"/>
        <v>10681298.4052075</v>
      </c>
    </row>
    <row r="103" spans="1:15">
      <c r="A103" s="1">
        <v>39</v>
      </c>
      <c r="B103" s="33">
        <f t="shared" si="19"/>
        <v>644153936.491495</v>
      </c>
      <c r="C103" s="33">
        <f t="shared" si="5"/>
        <v>15655788.4402958</v>
      </c>
      <c r="D103" s="33">
        <f t="shared" si="6"/>
        <v>628006047.36902</v>
      </c>
      <c r="E103" s="33">
        <f t="shared" si="7"/>
        <v>15263323.3453283</v>
      </c>
      <c r="F103" s="33">
        <f t="shared" si="8"/>
        <v>611858158.246545</v>
      </c>
      <c r="G103" s="33">
        <f t="shared" si="9"/>
        <v>14870858.2503608</v>
      </c>
      <c r="H103" s="33">
        <f t="shared" si="10"/>
        <v>595710269.12407</v>
      </c>
      <c r="I103" s="33">
        <f t="shared" si="11"/>
        <v>14478393.1553933</v>
      </c>
      <c r="J103" s="33">
        <f t="shared" si="12"/>
        <v>563414490.879121</v>
      </c>
      <c r="K103" s="33">
        <f t="shared" si="13"/>
        <v>13693462.9654583</v>
      </c>
      <c r="L103" s="33">
        <f t="shared" si="14"/>
        <v>514970823.511696</v>
      </c>
      <c r="M103" s="33">
        <f t="shared" si="15"/>
        <v>12516067.6805558</v>
      </c>
      <c r="N103" s="32">
        <f t="shared" si="16"/>
        <v>410990528.4798</v>
      </c>
      <c r="O103" s="32">
        <f t="shared" si="17"/>
        <v>9988886.8177864</v>
      </c>
    </row>
    <row r="104" spans="2:15">
      <c r="B104" s="75" t="s">
        <v>1043</v>
      </c>
      <c r="C104" s="32">
        <f>+SUM(C64:C103)</f>
        <v>2273731246.44033</v>
      </c>
      <c r="D104" s="75" t="s">
        <v>1043</v>
      </c>
      <c r="E104" s="32">
        <f>+SUM(E64:E103)</f>
        <v>1986752719.1491</v>
      </c>
      <c r="F104" s="75" t="s">
        <v>1043</v>
      </c>
      <c r="G104" s="32">
        <f>+SUM(G64:G103)</f>
        <v>1838920677.94188</v>
      </c>
      <c r="H104" s="75" t="s">
        <v>1043</v>
      </c>
      <c r="I104" s="32">
        <f>+SUM(I64:I103)</f>
        <v>1691088636.73467</v>
      </c>
      <c r="J104" s="75" t="s">
        <v>1043</v>
      </c>
      <c r="K104" s="32">
        <f>+SUM(K64:K103)</f>
        <v>1395424554.32024</v>
      </c>
      <c r="L104" s="75" t="s">
        <v>1043</v>
      </c>
      <c r="M104" s="32">
        <f>+SUM(M64:M103)</f>
        <v>951928430.698597</v>
      </c>
      <c r="N104" s="75" t="s">
        <v>1043</v>
      </c>
      <c r="O104" s="32">
        <f>+SUM(O64:O103)</f>
        <v>959.355041144416</v>
      </c>
    </row>
    <row r="105" spans="2:15">
      <c r="B105" s="75" t="s">
        <v>1044</v>
      </c>
      <c r="C105" s="56">
        <f>+IRR(B64:B103)</f>
        <v>0.288539726041777</v>
      </c>
      <c r="D105" s="75" t="s">
        <v>1044</v>
      </c>
      <c r="E105" s="56">
        <f>+IRR(D64:D103)</f>
        <v>0.247927592037186</v>
      </c>
      <c r="F105" s="75" t="s">
        <v>1044</v>
      </c>
      <c r="G105" s="56">
        <f>+IRR(F64:F103)</f>
        <v>0.235072862375032</v>
      </c>
      <c r="H105" s="75" t="s">
        <v>1044</v>
      </c>
      <c r="I105" s="56">
        <f>+IRR(H64:H103)</f>
        <v>0.22253691875865</v>
      </c>
      <c r="J105" s="75" t="s">
        <v>1044</v>
      </c>
      <c r="K105" s="56">
        <f>+IRR(J64:J103)</f>
        <v>0.198399683047704</v>
      </c>
      <c r="L105" s="75" t="s">
        <v>1044</v>
      </c>
      <c r="M105" s="56">
        <f>+IRR(L64:L103)</f>
        <v>0.164456671451829</v>
      </c>
      <c r="N105" s="75" t="s">
        <v>1044</v>
      </c>
      <c r="O105" s="76">
        <f>+IRR(N64:N103)</f>
        <v>0.100000059880783</v>
      </c>
    </row>
  </sheetData>
  <mergeCells count="4">
    <mergeCell ref="A2:Q2"/>
    <mergeCell ref="A4:Q4"/>
    <mergeCell ref="B61:O61"/>
    <mergeCell ref="B62:C62"/>
  </mergeCells>
  <pageMargins left="0.7" right="0.7" top="0.75" bottom="0.75" header="0.3" footer="0.3"/>
  <pageSetup paperSize="1"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249977111117893"/>
  </sheetPr>
  <dimension ref="A2:AL104"/>
  <sheetViews>
    <sheetView zoomScale="80" zoomScaleNormal="80" topLeftCell="A40" workbookViewId="0">
      <selection activeCell="M63" sqref="M63:P67"/>
    </sheetView>
  </sheetViews>
  <sheetFormatPr defaultColWidth="11.552380952381" defaultRowHeight="11.25"/>
  <cols>
    <col min="1" max="1" width="24.552380952381" style="1" customWidth="1"/>
    <col min="2" max="2" width="22.3333333333333" style="1" customWidth="1"/>
    <col min="3" max="3" width="18.552380952381" style="1" customWidth="1"/>
    <col min="4" max="4" width="16.6666666666667" style="1" customWidth="1"/>
    <col min="5" max="5" width="18.552380952381" style="1" customWidth="1"/>
    <col min="6" max="6" width="16.6666666666667" style="1" customWidth="1"/>
    <col min="7" max="7" width="18.6666666666667" style="1" customWidth="1"/>
    <col min="8" max="8" width="16.6666666666667" style="1" customWidth="1"/>
    <col min="9" max="9" width="24.3333333333333" style="1" customWidth="1"/>
    <col min="10" max="10" width="20.552380952381" style="1" customWidth="1"/>
    <col min="11" max="11" width="17.6666666666667" style="1" customWidth="1"/>
    <col min="12" max="13" width="16.6666666666667" style="1" customWidth="1"/>
    <col min="14" max="14" width="21" style="1" customWidth="1"/>
    <col min="15" max="18" width="16.6666666666667" style="1" customWidth="1"/>
    <col min="19" max="19" width="4.33333333333333" style="1" customWidth="1"/>
    <col min="20" max="20" width="9.33333333333333" style="1" customWidth="1"/>
    <col min="21" max="21" width="12.3333333333333" style="1" customWidth="1"/>
    <col min="22" max="22" width="16.6666666666667" style="1" customWidth="1"/>
    <col min="23" max="23" width="7.66666666666667" style="1" customWidth="1"/>
    <col min="24" max="37" width="16.6666666666667" style="1" customWidth="1"/>
    <col min="38" max="16384" width="11.552380952381" style="1"/>
  </cols>
  <sheetData>
    <row r="2" customFormat="1" ht="21" customHeight="1" spans="1:17">
      <c r="A2" s="2" t="s">
        <v>0</v>
      </c>
      <c r="B2" s="2"/>
      <c r="C2" s="2"/>
      <c r="D2" s="2"/>
      <c r="E2" s="2"/>
      <c r="F2" s="2"/>
      <c r="G2" s="2"/>
      <c r="H2" s="2"/>
      <c r="I2" s="2"/>
      <c r="J2" s="2"/>
      <c r="K2" s="2"/>
      <c r="L2" s="2"/>
      <c r="M2" s="2"/>
      <c r="N2" s="2"/>
      <c r="O2" s="2"/>
      <c r="P2" s="2"/>
      <c r="Q2" s="2"/>
    </row>
    <row r="3" customFormat="1" ht="15" spans="2:8">
      <c r="B3" s="3"/>
      <c r="C3" s="3"/>
      <c r="D3" s="4"/>
      <c r="E3" s="4"/>
      <c r="F3" s="5"/>
      <c r="G3" s="5"/>
      <c r="H3" s="5"/>
    </row>
    <row r="4" customFormat="1" ht="15" spans="1:17">
      <c r="A4" s="6" t="s">
        <v>1046</v>
      </c>
      <c r="B4" s="6"/>
      <c r="C4" s="6"/>
      <c r="D4" s="6"/>
      <c r="E4" s="6"/>
      <c r="F4" s="6"/>
      <c r="G4" s="6"/>
      <c r="H4" s="6"/>
      <c r="I4" s="6"/>
      <c r="J4" s="6"/>
      <c r="K4" s="6"/>
      <c r="L4" s="6"/>
      <c r="M4" s="6"/>
      <c r="N4" s="6"/>
      <c r="O4" s="6"/>
      <c r="P4" s="6"/>
      <c r="Q4" s="6"/>
    </row>
    <row r="6" spans="1:37">
      <c r="A6" s="7" t="s">
        <v>1025</v>
      </c>
      <c r="B6" s="8">
        <v>2024</v>
      </c>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54"/>
    </row>
    <row r="7" spans="1:37">
      <c r="A7" s="7" t="s">
        <v>5</v>
      </c>
      <c r="B7" s="10">
        <v>0.1</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54"/>
    </row>
    <row r="8" ht="22.5" spans="1:37">
      <c r="A8" s="7" t="s">
        <v>1047</v>
      </c>
      <c r="B8" s="12">
        <f>+D15+D16+D17</f>
        <v>1220645450.70894</v>
      </c>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54"/>
    </row>
    <row r="9" spans="1:37">
      <c r="A9" s="7" t="s">
        <v>1027</v>
      </c>
      <c r="B9" s="8">
        <v>2</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54"/>
    </row>
    <row r="10" spans="1:37">
      <c r="A10" s="7" t="s">
        <v>1028</v>
      </c>
      <c r="B10" s="8">
        <f>+COUNT(C17:C54)</f>
        <v>38</v>
      </c>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54"/>
    </row>
    <row r="11" spans="1:37">
      <c r="A11" s="13" t="s">
        <v>1058</v>
      </c>
      <c r="B11" s="14">
        <f>+M63</f>
        <v>-0.38102</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54"/>
    </row>
    <row r="12" spans="1:19">
      <c r="A12" s="11"/>
      <c r="B12" s="15"/>
      <c r="C12" s="15"/>
      <c r="D12" s="15"/>
      <c r="E12" s="15"/>
      <c r="F12" s="15"/>
      <c r="G12" s="11"/>
      <c r="H12" s="11"/>
      <c r="I12" s="11"/>
      <c r="J12" s="11"/>
      <c r="K12" s="11"/>
      <c r="L12" s="11"/>
      <c r="M12" s="15"/>
      <c r="N12" s="15"/>
      <c r="O12" s="11"/>
      <c r="P12" s="11"/>
      <c r="Q12" s="11"/>
      <c r="R12" s="11"/>
      <c r="S12" s="11"/>
    </row>
    <row r="13" spans="1:19">
      <c r="A13" s="11"/>
      <c r="B13" s="11"/>
      <c r="C13" s="11"/>
      <c r="D13" s="11"/>
      <c r="E13" s="11"/>
      <c r="F13" s="11"/>
      <c r="G13" s="11"/>
      <c r="H13" s="11"/>
      <c r="I13" s="11"/>
      <c r="J13" s="11"/>
      <c r="K13" s="11"/>
      <c r="L13" s="11"/>
      <c r="M13" s="11"/>
      <c r="N13" s="11"/>
      <c r="O13" s="11"/>
      <c r="P13" s="11"/>
      <c r="Q13" s="11"/>
      <c r="R13" s="11"/>
      <c r="S13" s="11"/>
    </row>
    <row r="14" ht="33.75" spans="1:12">
      <c r="A14" s="16" t="s">
        <v>1030</v>
      </c>
      <c r="B14" s="16" t="s">
        <v>200</v>
      </c>
      <c r="C14" s="17" t="s">
        <v>1049</v>
      </c>
      <c r="D14" s="18" t="s">
        <v>1036</v>
      </c>
      <c r="E14" s="18" t="s">
        <v>1037</v>
      </c>
      <c r="F14" s="18" t="s">
        <v>1038</v>
      </c>
      <c r="G14" s="18" t="s">
        <v>1039</v>
      </c>
      <c r="H14" s="19" t="s">
        <v>1040</v>
      </c>
      <c r="I14" s="19" t="s">
        <v>1041</v>
      </c>
      <c r="K14" s="34"/>
      <c r="L14" s="11"/>
    </row>
    <row r="15" spans="1:12">
      <c r="A15" s="20">
        <v>0</v>
      </c>
      <c r="B15" s="20">
        <v>2024</v>
      </c>
      <c r="C15" s="21">
        <f>+'X. Evaluacion Social'!I17</f>
        <v>0</v>
      </c>
      <c r="D15" s="21">
        <f>+'X. Evaluacion Social'!J17</f>
        <v>64081222.7394439</v>
      </c>
      <c r="E15" s="21">
        <f>+'X. Evaluacion Social'!K17</f>
        <v>53343536.5570275</v>
      </c>
      <c r="F15" s="21">
        <f>+'X. Evaluacion Social'!L17</f>
        <v>0</v>
      </c>
      <c r="G15" s="21">
        <f>+'X. Evaluacion Social'!M17</f>
        <v>117424759.296471</v>
      </c>
      <c r="H15" s="21">
        <f>+'X. Evaluacion Social'!N17</f>
        <v>-117424759.296471</v>
      </c>
      <c r="I15" s="35">
        <f>+'X. Evaluacion Social'!O17</f>
        <v>-117424759.296471</v>
      </c>
      <c r="K15" s="36"/>
      <c r="L15" s="11"/>
    </row>
    <row r="16" spans="1:12">
      <c r="A16" s="20">
        <f t="shared" ref="A16:B31" si="0">A15+1</f>
        <v>1</v>
      </c>
      <c r="B16" s="20">
        <f t="shared" si="0"/>
        <v>2025</v>
      </c>
      <c r="C16" s="21">
        <f>+'X. Evaluacion Social'!I18</f>
        <v>0</v>
      </c>
      <c r="D16" s="21">
        <f>+'X. Evaluacion Social'!J18</f>
        <v>988196979.807846</v>
      </c>
      <c r="E16" s="21">
        <f>+'X. Evaluacion Social'!K18</f>
        <v>53343536.5570275</v>
      </c>
      <c r="F16" s="21">
        <f>+'X. Evaluacion Social'!L18</f>
        <v>0</v>
      </c>
      <c r="G16" s="21">
        <f>+'X. Evaluacion Social'!M18</f>
        <v>1041540516.36487</v>
      </c>
      <c r="H16" s="21">
        <f>+'X. Evaluacion Social'!N18</f>
        <v>-1041540516.36487</v>
      </c>
      <c r="I16" s="35">
        <f>+'X. Evaluacion Social'!O18</f>
        <v>-946855014.877157</v>
      </c>
      <c r="K16" s="36"/>
      <c r="L16" s="11"/>
    </row>
    <row r="17" spans="1:12">
      <c r="A17" s="20">
        <f t="shared" si="0"/>
        <v>2</v>
      </c>
      <c r="B17" s="20">
        <f t="shared" si="0"/>
        <v>2026</v>
      </c>
      <c r="C17" s="21">
        <f>+'X. Evaluacion Social'!I19</f>
        <v>410461853.210814</v>
      </c>
      <c r="D17" s="21">
        <f>+'X. Evaluacion Social'!J19</f>
        <v>168367248.161654</v>
      </c>
      <c r="E17" s="21">
        <f>+'X. Evaluacion Social'!K19</f>
        <v>150467875.448339</v>
      </c>
      <c r="F17" s="21">
        <f>+'X. Evaluacion Social'!L19</f>
        <v>0</v>
      </c>
      <c r="G17" s="21">
        <f>+'X. Evaluacion Social'!M19</f>
        <v>318835123.609994</v>
      </c>
      <c r="H17" s="21">
        <f>+'X. Evaluacion Social'!N19</f>
        <v>91626729.6008202</v>
      </c>
      <c r="I17" s="35">
        <f>+'X. Evaluacion Social'!O19</f>
        <v>75724569.9180332</v>
      </c>
      <c r="K17" s="36"/>
      <c r="L17" s="11"/>
    </row>
    <row r="18" spans="1:12">
      <c r="A18" s="20">
        <f t="shared" si="0"/>
        <v>3</v>
      </c>
      <c r="B18" s="20">
        <f t="shared" si="0"/>
        <v>2027</v>
      </c>
      <c r="C18" s="21">
        <f>+'X. Evaluacion Social'!I20</f>
        <v>422286525.049496</v>
      </c>
      <c r="D18" s="21">
        <f>+'X. Evaluacion Social'!J20</f>
        <v>0</v>
      </c>
      <c r="E18" s="21">
        <f>+'X. Evaluacion Social'!K20</f>
        <v>151272317.370145</v>
      </c>
      <c r="F18" s="21">
        <f>+'X. Evaluacion Social'!L20</f>
        <v>0</v>
      </c>
      <c r="G18" s="21">
        <f>+'X. Evaluacion Social'!M20</f>
        <v>151272317.370145</v>
      </c>
      <c r="H18" s="21">
        <f>+'X. Evaluacion Social'!N20</f>
        <v>271014207.679351</v>
      </c>
      <c r="I18" s="21">
        <f>+'X. Evaluacion Social'!O20</f>
        <v>203616985.48411</v>
      </c>
      <c r="K18" s="36"/>
      <c r="L18" s="11"/>
    </row>
    <row r="19" spans="1:12">
      <c r="A19" s="20">
        <f t="shared" si="0"/>
        <v>4</v>
      </c>
      <c r="B19" s="20">
        <f t="shared" si="0"/>
        <v>2028</v>
      </c>
      <c r="C19" s="21">
        <f>+'X. Evaluacion Social'!I21</f>
        <v>433585713.314015</v>
      </c>
      <c r="D19" s="21">
        <f>+'X. Evaluacion Social'!J21</f>
        <v>0</v>
      </c>
      <c r="E19" s="21">
        <f>+'X. Evaluacion Social'!K21</f>
        <v>152027407.026809</v>
      </c>
      <c r="F19" s="21">
        <f>+'X. Evaluacion Social'!L21</f>
        <v>0</v>
      </c>
      <c r="G19" s="21">
        <f>+'X. Evaluacion Social'!M21</f>
        <v>152027407.026809</v>
      </c>
      <c r="H19" s="21">
        <f>+'X. Evaluacion Social'!N21</f>
        <v>281558306.287206</v>
      </c>
      <c r="I19" s="21">
        <f>+'X. Evaluacion Social'!O21</f>
        <v>192308111.663962</v>
      </c>
      <c r="K19" s="36"/>
      <c r="L19" s="11"/>
    </row>
    <row r="20" spans="1:12">
      <c r="A20" s="20">
        <f t="shared" si="0"/>
        <v>5</v>
      </c>
      <c r="B20" s="20">
        <f t="shared" si="0"/>
        <v>2029</v>
      </c>
      <c r="C20" s="21">
        <f>+'X. Evaluacion Social'!I22</f>
        <v>444400494.692293</v>
      </c>
      <c r="D20" s="21">
        <f>+'X. Evaluacion Social'!J22</f>
        <v>0</v>
      </c>
      <c r="E20" s="21">
        <f>+'X. Evaluacion Social'!K22</f>
        <v>152737103.858615</v>
      </c>
      <c r="F20" s="21">
        <f>+'X. Evaluacion Social'!L22</f>
        <v>0</v>
      </c>
      <c r="G20" s="21">
        <f>+'X. Evaluacion Social'!M22</f>
        <v>152737103.858615</v>
      </c>
      <c r="H20" s="21">
        <f>+'X. Evaluacion Social'!N22</f>
        <v>291663390.833678</v>
      </c>
      <c r="I20" s="21">
        <f>+'X. Evaluacion Social'!O22</f>
        <v>181100018.524367</v>
      </c>
      <c r="K20" s="36"/>
      <c r="L20" s="11"/>
    </row>
    <row r="21" spans="1:12">
      <c r="A21" s="20">
        <f t="shared" si="0"/>
        <v>6</v>
      </c>
      <c r="B21" s="20">
        <f t="shared" si="0"/>
        <v>2030</v>
      </c>
      <c r="C21" s="21">
        <f>+'X. Evaluacion Social'!I23</f>
        <v>454784038.252151</v>
      </c>
      <c r="D21" s="21">
        <f>+'X. Evaluacion Social'!J23</f>
        <v>0</v>
      </c>
      <c r="E21" s="21">
        <f>+'X. Evaluacion Social'!K23</f>
        <v>153408482.315736</v>
      </c>
      <c r="F21" s="21">
        <f>+'X. Evaluacion Social'!L23</f>
        <v>0</v>
      </c>
      <c r="G21" s="21">
        <f>+'X. Evaluacion Social'!M23</f>
        <v>153408482.315736</v>
      </c>
      <c r="H21" s="21">
        <f>+'X. Evaluacion Social'!N23</f>
        <v>301375555.936415</v>
      </c>
      <c r="I21" s="21">
        <f>+'X. Evaluacion Social'!O23</f>
        <v>170118644.48157</v>
      </c>
      <c r="K21" s="36"/>
      <c r="L21" s="11"/>
    </row>
    <row r="22" spans="1:12">
      <c r="A22" s="20">
        <f t="shared" si="0"/>
        <v>7</v>
      </c>
      <c r="B22" s="20">
        <f t="shared" si="0"/>
        <v>2031</v>
      </c>
      <c r="C22" s="21">
        <f>+'X. Evaluacion Social'!I24</f>
        <v>465314453.468166</v>
      </c>
      <c r="D22" s="21">
        <f>+'X. Evaluacion Social'!J24</f>
        <v>0</v>
      </c>
      <c r="E22" s="21">
        <f>+'X. Evaluacion Social'!K24</f>
        <v>154048973.385625</v>
      </c>
      <c r="F22" s="21">
        <f>+'X. Evaluacion Social'!L24</f>
        <v>0</v>
      </c>
      <c r="G22" s="21">
        <f>+'X. Evaluacion Social'!M24</f>
        <v>154048973.385625</v>
      </c>
      <c r="H22" s="21">
        <f>+'X. Evaluacion Social'!N24</f>
        <v>311265480.08254</v>
      </c>
      <c r="I22" s="21">
        <f>+'X. Evaluacion Social'!O24</f>
        <v>159728408.029334</v>
      </c>
      <c r="K22" s="36"/>
      <c r="L22" s="11"/>
    </row>
    <row r="23" spans="1:12">
      <c r="A23" s="20">
        <f t="shared" si="0"/>
        <v>8</v>
      </c>
      <c r="B23" s="20">
        <f t="shared" si="0"/>
        <v>2032</v>
      </c>
      <c r="C23" s="21">
        <f>+'X. Evaluacion Social'!I25</f>
        <v>475644616.573626</v>
      </c>
      <c r="D23" s="21">
        <f>+'X. Evaluacion Social'!J25</f>
        <v>0</v>
      </c>
      <c r="E23" s="21">
        <f>+'X. Evaluacion Social'!K25</f>
        <v>154665257.450939</v>
      </c>
      <c r="F23" s="21">
        <f>+'X. Evaluacion Social'!L25</f>
        <v>1750000</v>
      </c>
      <c r="G23" s="21">
        <f>+'X. Evaluacion Social'!M25</f>
        <v>156415257.450939</v>
      </c>
      <c r="H23" s="21">
        <f>+'X. Evaluacion Social'!N25</f>
        <v>319229359.122687</v>
      </c>
      <c r="I23" s="21">
        <f>+'X. Evaluacion Social'!O25</f>
        <v>148922852.010357</v>
      </c>
      <c r="K23" s="36"/>
      <c r="L23" s="11"/>
    </row>
    <row r="24" spans="1:12">
      <c r="A24" s="20">
        <f t="shared" si="0"/>
        <v>9</v>
      </c>
      <c r="B24" s="20">
        <f t="shared" si="0"/>
        <v>2033</v>
      </c>
      <c r="C24" s="21">
        <f>+'X. Evaluacion Social'!I26</f>
        <v>485818204.90797</v>
      </c>
      <c r="D24" s="21">
        <f>+'X. Evaluacion Social'!J26</f>
        <v>0</v>
      </c>
      <c r="E24" s="21">
        <f>+'X. Evaluacion Social'!K26</f>
        <v>155263433.175621</v>
      </c>
      <c r="F24" s="21">
        <f>+'X. Evaluacion Social'!L26</f>
        <v>32378260</v>
      </c>
      <c r="G24" s="21">
        <f>+'X. Evaluacion Social'!M26</f>
        <v>187641693.175621</v>
      </c>
      <c r="H24" s="21">
        <f>+'X. Evaluacion Social'!N26</f>
        <v>298176511.732349</v>
      </c>
      <c r="I24" s="21">
        <f>+'X. Evaluacion Social'!O26</f>
        <v>126455948.480305</v>
      </c>
      <c r="K24" s="36"/>
      <c r="L24" s="11"/>
    </row>
    <row r="25" spans="1:12">
      <c r="A25" s="20">
        <f t="shared" si="0"/>
        <v>10</v>
      </c>
      <c r="B25" s="20">
        <f t="shared" si="0"/>
        <v>2034</v>
      </c>
      <c r="C25" s="21">
        <f>+'X. Evaluacion Social'!I27</f>
        <v>495875446.480968</v>
      </c>
      <c r="D25" s="21">
        <f>+'X. Evaluacion Social'!J27</f>
        <v>0</v>
      </c>
      <c r="E25" s="21">
        <f>+'X. Evaluacion Social'!K27</f>
        <v>155849167.625858</v>
      </c>
      <c r="F25" s="21">
        <f>+'X. Evaluacion Social'!L27</f>
        <v>125491485</v>
      </c>
      <c r="G25" s="21">
        <f>+'X. Evaluacion Social'!M27</f>
        <v>281340652.625858</v>
      </c>
      <c r="H25" s="21">
        <f>+'X. Evaluacion Social'!N27</f>
        <v>214534793.85511</v>
      </c>
      <c r="I25" s="21">
        <f>+'X. Evaluacion Social'!O27</f>
        <v>82712450.1199856</v>
      </c>
      <c r="K25" s="36"/>
      <c r="L25" s="11"/>
    </row>
    <row r="26" spans="1:12">
      <c r="A26" s="20">
        <f t="shared" si="0"/>
        <v>11</v>
      </c>
      <c r="B26" s="20">
        <f t="shared" si="0"/>
        <v>2035</v>
      </c>
      <c r="C26" s="21">
        <f>+'X. Evaluacion Social'!I28</f>
        <v>505838550.026621</v>
      </c>
      <c r="D26" s="21">
        <f>+'X. Evaluacion Social'!J28</f>
        <v>0</v>
      </c>
      <c r="E26" s="21">
        <f>+'X. Evaluacion Social'!K28</f>
        <v>156424449.904353</v>
      </c>
      <c r="F26" s="21">
        <f>+'X. Evaluacion Social'!L28</f>
        <v>0</v>
      </c>
      <c r="G26" s="21">
        <f>+'X. Evaluacion Social'!M28</f>
        <v>156424449.904353</v>
      </c>
      <c r="H26" s="21">
        <f>+'X. Evaluacion Social'!N28</f>
        <v>349414100.122269</v>
      </c>
      <c r="I26" s="21">
        <f>+'X. Evaluacion Social'!O28</f>
        <v>122467510.485636</v>
      </c>
      <c r="K26" s="36"/>
      <c r="L26" s="11"/>
    </row>
    <row r="27" spans="1:12">
      <c r="A27" s="20">
        <f t="shared" si="0"/>
        <v>12</v>
      </c>
      <c r="B27" s="20">
        <f t="shared" si="0"/>
        <v>2036</v>
      </c>
      <c r="C27" s="21">
        <f>+'X. Evaluacion Social'!I29</f>
        <v>515724412.158165</v>
      </c>
      <c r="D27" s="21">
        <f>+'X. Evaluacion Social'!J29</f>
        <v>0</v>
      </c>
      <c r="E27" s="21">
        <f>+'X. Evaluacion Social'!K29</f>
        <v>156990349.622935</v>
      </c>
      <c r="F27" s="21">
        <f>+'X. Evaluacion Social'!L29</f>
        <v>0</v>
      </c>
      <c r="G27" s="21">
        <f>+'X. Evaluacion Social'!M29</f>
        <v>156990349.622935</v>
      </c>
      <c r="H27" s="21">
        <f>+'X. Evaluacion Social'!N29</f>
        <v>358734062.53523</v>
      </c>
      <c r="I27" s="21">
        <f>+'X. Evaluacion Social'!O29</f>
        <v>114303727.686159</v>
      </c>
      <c r="K27" s="36"/>
      <c r="L27" s="11"/>
    </row>
    <row r="28" spans="1:12">
      <c r="A28" s="20">
        <f t="shared" si="0"/>
        <v>13</v>
      </c>
      <c r="B28" s="20">
        <f t="shared" si="0"/>
        <v>2037</v>
      </c>
      <c r="C28" s="21">
        <f>+'X. Evaluacion Social'!I30</f>
        <v>525532279.255795</v>
      </c>
      <c r="D28" s="21">
        <f>+'X. Evaluacion Social'!J30</f>
        <v>0</v>
      </c>
      <c r="E28" s="21">
        <f>+'X. Evaluacion Social'!K30</f>
        <v>157544258.429948</v>
      </c>
      <c r="F28" s="21">
        <f>+'X. Evaluacion Social'!L30</f>
        <v>49394500</v>
      </c>
      <c r="G28" s="21">
        <f>+'X. Evaluacion Social'!M30</f>
        <v>206938758.429948</v>
      </c>
      <c r="H28" s="21">
        <f>+'X. Evaluacion Social'!N30</f>
        <v>318593520.825847</v>
      </c>
      <c r="I28" s="21">
        <f>+'X. Evaluacion Social'!O30</f>
        <v>92285194.5981464</v>
      </c>
      <c r="K28" s="36"/>
      <c r="L28" s="11"/>
    </row>
    <row r="29" spans="1:12">
      <c r="A29" s="20">
        <f t="shared" si="0"/>
        <v>14</v>
      </c>
      <c r="B29" s="20">
        <f t="shared" si="0"/>
        <v>2038</v>
      </c>
      <c r="C29" s="21">
        <f>+'X. Evaluacion Social'!I31</f>
        <v>535244343.213956</v>
      </c>
      <c r="D29" s="21">
        <f>+'X. Evaluacion Social'!J31</f>
        <v>0</v>
      </c>
      <c r="E29" s="21">
        <f>+'X. Evaluacion Social'!K31</f>
        <v>158079965.07073</v>
      </c>
      <c r="F29" s="21">
        <f>+'X. Evaluacion Social'!L31</f>
        <v>0</v>
      </c>
      <c r="G29" s="21">
        <f>+'X. Evaluacion Social'!M31</f>
        <v>158079965.07073</v>
      </c>
      <c r="H29" s="21">
        <f>+'X. Evaluacion Social'!N31</f>
        <v>377164378.143225</v>
      </c>
      <c r="I29" s="21">
        <f>+'X. Evaluacion Social'!O31</f>
        <v>99319168.7760281</v>
      </c>
      <c r="K29" s="36"/>
      <c r="L29" s="11"/>
    </row>
    <row r="30" spans="1:12">
      <c r="A30" s="20">
        <f t="shared" si="0"/>
        <v>15</v>
      </c>
      <c r="B30" s="20">
        <f t="shared" si="0"/>
        <v>2039</v>
      </c>
      <c r="C30" s="21">
        <f>+'X. Evaluacion Social'!I32</f>
        <v>544833787.549815</v>
      </c>
      <c r="D30" s="21">
        <f>+'X. Evaluacion Social'!J32</f>
        <v>0</v>
      </c>
      <c r="E30" s="21">
        <f>+'X. Evaluacion Social'!K32</f>
        <v>158589381.778637</v>
      </c>
      <c r="F30" s="21">
        <f>+'X. Evaluacion Social'!L32</f>
        <v>0</v>
      </c>
      <c r="G30" s="21">
        <f>+'X. Evaluacion Social'!M32</f>
        <v>158589381.778637</v>
      </c>
      <c r="H30" s="21">
        <f>+'X. Evaluacion Social'!N32</f>
        <v>386244405.771178</v>
      </c>
      <c r="I30" s="21">
        <f>+'X. Evaluacion Social'!O32</f>
        <v>92463839.8549371</v>
      </c>
      <c r="K30" s="36"/>
      <c r="L30" s="11"/>
    </row>
    <row r="31" spans="1:12">
      <c r="A31" s="20">
        <f t="shared" si="0"/>
        <v>16</v>
      </c>
      <c r="B31" s="20">
        <f t="shared" si="0"/>
        <v>2040</v>
      </c>
      <c r="C31" s="21">
        <f>+'X. Evaluacion Social'!I33</f>
        <v>554273164.789722</v>
      </c>
      <c r="D31" s="21">
        <f>+'X. Evaluacion Social'!J33</f>
        <v>0</v>
      </c>
      <c r="E31" s="21">
        <f>+'X. Evaluacion Social'!K33</f>
        <v>159064364.491664</v>
      </c>
      <c r="F31" s="21">
        <f>+'X. Evaluacion Social'!L33</f>
        <v>1750000</v>
      </c>
      <c r="G31" s="21">
        <f>+'X. Evaluacion Social'!M33</f>
        <v>160814364.491664</v>
      </c>
      <c r="H31" s="21">
        <f>+'X. Evaluacion Social'!N33</f>
        <v>393458800.298059</v>
      </c>
      <c r="I31" s="21">
        <f>+'X. Evaluacion Social'!O33</f>
        <v>85628098.6778951</v>
      </c>
      <c r="K31" s="36"/>
      <c r="L31" s="11"/>
    </row>
    <row r="32" spans="1:12">
      <c r="A32" s="20">
        <f t="shared" ref="A32:B47" si="1">A31+1</f>
        <v>17</v>
      </c>
      <c r="B32" s="20">
        <f t="shared" si="1"/>
        <v>2041</v>
      </c>
      <c r="C32" s="21">
        <f>+'X. Evaluacion Social'!I34</f>
        <v>563540716.241678</v>
      </c>
      <c r="D32" s="21">
        <f>+'X. Evaluacion Social'!J34</f>
        <v>0</v>
      </c>
      <c r="E32" s="21">
        <f>+'X. Evaluacion Social'!K34</f>
        <v>159497876.289876</v>
      </c>
      <c r="F32" s="21">
        <f>+'X. Evaluacion Social'!L34</f>
        <v>227685146</v>
      </c>
      <c r="G32" s="21">
        <f>+'X. Evaluacion Social'!M34</f>
        <v>387183022.289876</v>
      </c>
      <c r="H32" s="21">
        <f>+'X. Evaluacion Social'!N34</f>
        <v>176357693.951802</v>
      </c>
      <c r="I32" s="21">
        <f>+'X. Evaluacion Social'!O34</f>
        <v>34891429.5678857</v>
      </c>
      <c r="K32" s="36"/>
      <c r="L32" s="11"/>
    </row>
    <row r="33" spans="1:12">
      <c r="A33" s="20">
        <f t="shared" si="1"/>
        <v>18</v>
      </c>
      <c r="B33" s="20">
        <f t="shared" si="1"/>
        <v>2042</v>
      </c>
      <c r="C33" s="21">
        <f>+'X. Evaluacion Social'!I35</f>
        <v>572635663.683738</v>
      </c>
      <c r="D33" s="21">
        <f>+'X. Evaluacion Social'!J35</f>
        <v>0</v>
      </c>
      <c r="E33" s="21">
        <f>+'X. Evaluacion Social'!K35</f>
        <v>159887665.358894</v>
      </c>
      <c r="F33" s="21">
        <f>+'X. Evaluacion Social'!L35</f>
        <v>15750000</v>
      </c>
      <c r="G33" s="21">
        <f>+'X. Evaluacion Social'!M35</f>
        <v>175637665.358894</v>
      </c>
      <c r="H33" s="21">
        <f>+'X. Evaluacion Social'!N35</f>
        <v>396997998.324844</v>
      </c>
      <c r="I33" s="21">
        <f>+'X. Evaluacion Social'!O35</f>
        <v>71403579.5750866</v>
      </c>
      <c r="K33" s="36"/>
      <c r="L33" s="11"/>
    </row>
    <row r="34" spans="1:12">
      <c r="A34" s="20">
        <f t="shared" si="1"/>
        <v>19</v>
      </c>
      <c r="B34" s="20">
        <f t="shared" si="1"/>
        <v>2043</v>
      </c>
      <c r="C34" s="21">
        <f>+'X. Evaluacion Social'!I36</f>
        <v>581566101.06855</v>
      </c>
      <c r="D34" s="21">
        <f>+'X. Evaluacion Social'!J36</f>
        <v>0</v>
      </c>
      <c r="E34" s="21">
        <f>+'X. Evaluacion Social'!K36</f>
        <v>160233562.81264</v>
      </c>
      <c r="F34" s="21">
        <f>+'X. Evaluacion Social'!L36</f>
        <v>0</v>
      </c>
      <c r="G34" s="21">
        <f>+'X. Evaluacion Social'!M36</f>
        <v>160233562.81264</v>
      </c>
      <c r="H34" s="21">
        <f>+'X. Evaluacion Social'!N36</f>
        <v>421332538.25591</v>
      </c>
      <c r="I34" s="21">
        <f>+'X. Evaluacion Social'!O36</f>
        <v>68891236.8000776</v>
      </c>
      <c r="K34" s="36"/>
      <c r="L34" s="11"/>
    </row>
    <row r="35" spans="1:12">
      <c r="A35" s="20">
        <f t="shared" si="1"/>
        <v>20</v>
      </c>
      <c r="B35" s="20">
        <f t="shared" si="1"/>
        <v>2044</v>
      </c>
      <c r="C35" s="21">
        <f>+'X. Evaluacion Social'!I37</f>
        <v>590357955.510108</v>
      </c>
      <c r="D35" s="21">
        <f>+'X. Evaluacion Social'!J37</f>
        <v>0</v>
      </c>
      <c r="E35" s="21">
        <f>+'X. Evaluacion Social'!K37</f>
        <v>160539490.561157</v>
      </c>
      <c r="F35" s="21">
        <f>+'X. Evaluacion Social'!L37</f>
        <v>0</v>
      </c>
      <c r="G35" s="21">
        <f>+'X. Evaluacion Social'!M37</f>
        <v>160539490.561157</v>
      </c>
      <c r="H35" s="21">
        <f>+'X. Evaluacion Social'!N37</f>
        <v>429818464.948951</v>
      </c>
      <c r="I35" s="21">
        <f>+'X. Evaluacion Social'!O37</f>
        <v>63889776.0217803</v>
      </c>
      <c r="K35" s="36"/>
      <c r="L35" s="11"/>
    </row>
    <row r="36" spans="1:12">
      <c r="A36" s="20">
        <f t="shared" si="1"/>
        <v>21</v>
      </c>
      <c r="B36" s="20">
        <f t="shared" si="1"/>
        <v>2045</v>
      </c>
      <c r="C36" s="21">
        <f>+'X. Evaluacion Social'!I38</f>
        <v>599034507.451039</v>
      </c>
      <c r="D36" s="21">
        <f>+'X. Evaluacion Social'!J38</f>
        <v>0</v>
      </c>
      <c r="E36" s="21">
        <f>+'X. Evaluacion Social'!K38</f>
        <v>160808957.681853</v>
      </c>
      <c r="F36" s="21">
        <f>+'X. Evaluacion Social'!L38</f>
        <v>0</v>
      </c>
      <c r="G36" s="21">
        <f>+'X. Evaluacion Social'!M38</f>
        <v>160808957.681853</v>
      </c>
      <c r="H36" s="21">
        <f>+'X. Evaluacion Social'!N38</f>
        <v>438225549.769186</v>
      </c>
      <c r="I36" s="21">
        <f>+'X. Evaluacion Social'!O38</f>
        <v>59217668.7368788</v>
      </c>
      <c r="K36" s="36"/>
      <c r="L36" s="11"/>
    </row>
    <row r="37" spans="1:12">
      <c r="A37" s="20">
        <f t="shared" si="1"/>
        <v>22</v>
      </c>
      <c r="B37" s="20">
        <f t="shared" si="1"/>
        <v>2046</v>
      </c>
      <c r="C37" s="21">
        <f>+'X. Evaluacion Social'!I39</f>
        <v>607634269.353575</v>
      </c>
      <c r="D37" s="21">
        <f>+'X. Evaluacion Social'!J39</f>
        <v>0</v>
      </c>
      <c r="E37" s="21">
        <f>+'X. Evaluacion Social'!K39</f>
        <v>161047255.938519</v>
      </c>
      <c r="F37" s="21">
        <f>+'X. Evaluacion Social'!L39</f>
        <v>188740447</v>
      </c>
      <c r="G37" s="21">
        <f>+'X. Evaluacion Social'!M39</f>
        <v>349787702.938519</v>
      </c>
      <c r="H37" s="21">
        <f>+'X. Evaluacion Social'!N39</f>
        <v>257846566.415055</v>
      </c>
      <c r="I37" s="21">
        <f>+'X. Evaluacion Social'!O39</f>
        <v>31675412.483886</v>
      </c>
      <c r="K37" s="36"/>
      <c r="L37" s="11"/>
    </row>
    <row r="38" spans="1:12">
      <c r="A38" s="20">
        <f t="shared" si="1"/>
        <v>23</v>
      </c>
      <c r="B38" s="20">
        <f t="shared" si="1"/>
        <v>2047</v>
      </c>
      <c r="C38" s="21">
        <f>+'X. Evaluacion Social'!I40</f>
        <v>616192333.871185</v>
      </c>
      <c r="D38" s="21">
        <f>+'X. Evaluacion Social'!J40</f>
        <v>0</v>
      </c>
      <c r="E38" s="21">
        <f>+'X. Evaluacion Social'!K40</f>
        <v>161259583.269346</v>
      </c>
      <c r="F38" s="21">
        <f>+'X. Evaluacion Social'!L40</f>
        <v>49394500</v>
      </c>
      <c r="G38" s="21">
        <f>+'X. Evaluacion Social'!M40</f>
        <v>210654083.269346</v>
      </c>
      <c r="H38" s="21">
        <f>+'X. Evaluacion Social'!N40</f>
        <v>405538250.601838</v>
      </c>
      <c r="I38" s="21">
        <f>+'X. Evaluacion Social'!O40</f>
        <v>45289764.7423152</v>
      </c>
      <c r="K38" s="36"/>
      <c r="L38" s="11"/>
    </row>
    <row r="39" spans="1:12">
      <c r="A39" s="20">
        <f t="shared" si="1"/>
        <v>24</v>
      </c>
      <c r="B39" s="20">
        <f t="shared" si="1"/>
        <v>2048</v>
      </c>
      <c r="C39" s="21">
        <f>+'X. Evaluacion Social'!I41</f>
        <v>624740909.459122</v>
      </c>
      <c r="D39" s="21">
        <f>+'X. Evaluacion Social'!J41</f>
        <v>0</v>
      </c>
      <c r="E39" s="21">
        <f>+'X. Evaluacion Social'!K41</f>
        <v>161450649.719411</v>
      </c>
      <c r="F39" s="21">
        <f>+'X. Evaluacion Social'!L41</f>
        <v>1750000</v>
      </c>
      <c r="G39" s="21">
        <f>+'X. Evaluacion Social'!M41</f>
        <v>163200649.719411</v>
      </c>
      <c r="H39" s="21">
        <f>+'X. Evaluacion Social'!N41</f>
        <v>461540259.739711</v>
      </c>
      <c r="I39" s="21">
        <f>+'X. Evaluacion Social'!O41</f>
        <v>46858150.8687359</v>
      </c>
      <c r="K39" s="36"/>
      <c r="L39" s="11"/>
    </row>
    <row r="40" spans="1:12">
      <c r="A40" s="20">
        <f t="shared" si="1"/>
        <v>25</v>
      </c>
      <c r="B40" s="20">
        <f t="shared" si="1"/>
        <v>2049</v>
      </c>
      <c r="C40" s="21">
        <f>+'X. Evaluacion Social'!I42</f>
        <v>633305253.468757</v>
      </c>
      <c r="D40" s="21">
        <f>+'X. Evaluacion Social'!J42</f>
        <v>0</v>
      </c>
      <c r="E40" s="21">
        <f>+'X. Evaluacion Social'!K42</f>
        <v>161623757.949803</v>
      </c>
      <c r="F40" s="21">
        <f>+'X. Evaluacion Social'!L42</f>
        <v>0</v>
      </c>
      <c r="G40" s="21">
        <f>+'X. Evaluacion Social'!M42</f>
        <v>161623757.949803</v>
      </c>
      <c r="H40" s="21">
        <f>+'X. Evaluacion Social'!N42</f>
        <v>471681495.518954</v>
      </c>
      <c r="I40" s="21">
        <f>+'X. Evaluacion Social'!O42</f>
        <v>43534314.4505723</v>
      </c>
      <c r="K40" s="36"/>
      <c r="L40" s="11"/>
    </row>
    <row r="41" spans="1:12">
      <c r="A41" s="20">
        <f t="shared" si="1"/>
        <v>26</v>
      </c>
      <c r="B41" s="20">
        <f t="shared" si="1"/>
        <v>2050</v>
      </c>
      <c r="C41" s="21">
        <f>+'X. Evaluacion Social'!I43</f>
        <v>641904556.28487</v>
      </c>
      <c r="D41" s="21">
        <f>+'X. Evaluacion Social'!J43</f>
        <v>0</v>
      </c>
      <c r="E41" s="21">
        <f>+'X. Evaluacion Social'!K43</f>
        <v>161780972.123702</v>
      </c>
      <c r="F41" s="21">
        <f>+'X. Evaluacion Social'!L43</f>
        <v>14000000</v>
      </c>
      <c r="G41" s="21">
        <f>+'X. Evaluacion Social'!M43</f>
        <v>175780972.123702</v>
      </c>
      <c r="H41" s="21">
        <f>+'X. Evaluacion Social'!N43</f>
        <v>466123584.161168</v>
      </c>
      <c r="I41" s="21">
        <f>+'X. Evaluacion Social'!O43</f>
        <v>39110310.4309325</v>
      </c>
      <c r="K41" s="36"/>
      <c r="L41" s="11"/>
    </row>
    <row r="42" spans="1:12">
      <c r="A42" s="20">
        <f t="shared" si="1"/>
        <v>27</v>
      </c>
      <c r="B42" s="20">
        <f t="shared" si="1"/>
        <v>2051</v>
      </c>
      <c r="C42" s="21">
        <f>+'X. Evaluacion Social'!I44</f>
        <v>650547509.35896</v>
      </c>
      <c r="D42" s="21">
        <f>+'X. Evaluacion Social'!J44</f>
        <v>0</v>
      </c>
      <c r="E42" s="21">
        <f>+'X. Evaluacion Social'!K44</f>
        <v>161922104.589911</v>
      </c>
      <c r="F42" s="21">
        <f>+'X. Evaluacion Social'!L44</f>
        <v>0</v>
      </c>
      <c r="G42" s="21">
        <f>+'X. Evaluacion Social'!M44</f>
        <v>161922104.589911</v>
      </c>
      <c r="H42" s="21">
        <f>+'X. Evaluacion Social'!N44</f>
        <v>488625404.76905</v>
      </c>
      <c r="I42" s="21">
        <f>+'X. Evaluacion Social'!O44</f>
        <v>37271214.4362243</v>
      </c>
      <c r="K42" s="36"/>
      <c r="L42" s="11"/>
    </row>
    <row r="43" spans="1:12">
      <c r="A43" s="20">
        <f t="shared" si="1"/>
        <v>28</v>
      </c>
      <c r="B43" s="20">
        <f t="shared" si="1"/>
        <v>2052</v>
      </c>
      <c r="C43" s="21">
        <f>+'X. Evaluacion Social'!I45</f>
        <v>659237042.833889</v>
      </c>
      <c r="D43" s="21">
        <f>+'X. Evaluacion Social'!J45</f>
        <v>0</v>
      </c>
      <c r="E43" s="21">
        <f>+'X. Evaluacion Social'!K45</f>
        <v>162045729.199322</v>
      </c>
      <c r="F43" s="21">
        <f>+'X. Evaluacion Social'!L45</f>
        <v>1750000</v>
      </c>
      <c r="G43" s="21">
        <f>+'X. Evaluacion Social'!M45</f>
        <v>163795729.199322</v>
      </c>
      <c r="H43" s="21">
        <f>+'X. Evaluacion Social'!N45</f>
        <v>495441313.634568</v>
      </c>
      <c r="I43" s="21">
        <f>+'X. Evaluacion Social'!O45</f>
        <v>34355560.165333</v>
      </c>
      <c r="K43" s="36"/>
      <c r="L43" s="11"/>
    </row>
    <row r="44" spans="1:12">
      <c r="A44" s="20">
        <f t="shared" si="1"/>
        <v>29</v>
      </c>
      <c r="B44" s="20">
        <f t="shared" si="1"/>
        <v>2053</v>
      </c>
      <c r="C44" s="21">
        <f>+'X. Evaluacion Social'!I46</f>
        <v>667964559.291227</v>
      </c>
      <c r="D44" s="21">
        <f>+'X. Evaluacion Social'!J46</f>
        <v>0</v>
      </c>
      <c r="E44" s="21">
        <f>+'X. Evaluacion Social'!K46</f>
        <v>162147867.746533</v>
      </c>
      <c r="F44" s="21">
        <f>+'X. Evaluacion Social'!L46</f>
        <v>0</v>
      </c>
      <c r="G44" s="21">
        <f>+'X. Evaluacion Social'!M46</f>
        <v>162147867.746533</v>
      </c>
      <c r="H44" s="21">
        <f>+'X. Evaluacion Social'!N46</f>
        <v>505816691.544694</v>
      </c>
      <c r="I44" s="21">
        <f>+'X. Evaluacion Social'!O46</f>
        <v>31886385.1108105</v>
      </c>
      <c r="K44" s="36"/>
      <c r="L44" s="11"/>
    </row>
    <row r="45" spans="1:12">
      <c r="A45" s="20">
        <f t="shared" si="1"/>
        <v>30</v>
      </c>
      <c r="B45" s="20">
        <f t="shared" si="1"/>
        <v>2054</v>
      </c>
      <c r="C45" s="21">
        <f>+'X. Evaluacion Social'!I47</f>
        <v>676716300.087661</v>
      </c>
      <c r="D45" s="21">
        <f>+'X. Evaluacion Social'!J47</f>
        <v>0</v>
      </c>
      <c r="E45" s="21">
        <f>+'X. Evaluacion Social'!K47</f>
        <v>162223359.823591</v>
      </c>
      <c r="F45" s="21">
        <f>+'X. Evaluacion Social'!L47</f>
        <v>163247831</v>
      </c>
      <c r="G45" s="21">
        <f>+'X. Evaluacion Social'!M47</f>
        <v>325471190.823591</v>
      </c>
      <c r="H45" s="21">
        <f>+'X. Evaluacion Social'!N47</f>
        <v>351245109.26407</v>
      </c>
      <c r="I45" s="21">
        <f>+'X. Evaluacion Social'!O47</f>
        <v>20129349.0660345</v>
      </c>
      <c r="K45" s="36"/>
      <c r="L45" s="11"/>
    </row>
    <row r="46" spans="1:12">
      <c r="A46" s="20">
        <f t="shared" si="1"/>
        <v>31</v>
      </c>
      <c r="B46" s="20">
        <f t="shared" si="1"/>
        <v>2055</v>
      </c>
      <c r="C46" s="21">
        <f>+'X. Evaluacion Social'!I48</f>
        <v>685480956.600357</v>
      </c>
      <c r="D46" s="21">
        <f>+'X. Evaluacion Social'!J48</f>
        <v>0</v>
      </c>
      <c r="E46" s="21">
        <f>+'X. Evaluacion Social'!K48</f>
        <v>162267532.915661</v>
      </c>
      <c r="F46" s="21">
        <f>+'X. Evaluacion Social'!L48</f>
        <v>0</v>
      </c>
      <c r="G46" s="21">
        <f>+'X. Evaluacion Social'!M48</f>
        <v>162267532.915661</v>
      </c>
      <c r="H46" s="21">
        <f>+'X. Evaluacion Social'!N48</f>
        <v>523213423.684696</v>
      </c>
      <c r="I46" s="21">
        <f>+'X. Evaluacion Social'!O48</f>
        <v>27258731.2537463</v>
      </c>
      <c r="K46" s="36"/>
      <c r="L46" s="11"/>
    </row>
    <row r="47" spans="1:12">
      <c r="A47" s="20">
        <f t="shared" si="1"/>
        <v>32</v>
      </c>
      <c r="B47" s="20">
        <f t="shared" si="1"/>
        <v>2056</v>
      </c>
      <c r="C47" s="21">
        <f>+'X. Evaluacion Social'!I49</f>
        <v>694256309.146959</v>
      </c>
      <c r="D47" s="21">
        <f>+'X. Evaluacion Social'!J49</f>
        <v>0</v>
      </c>
      <c r="E47" s="21">
        <f>+'X. Evaluacion Social'!K49</f>
        <v>162277684.845487</v>
      </c>
      <c r="F47" s="21">
        <f>+'X. Evaluacion Social'!L49</f>
        <v>1750000</v>
      </c>
      <c r="G47" s="21">
        <f>+'X. Evaluacion Social'!M49</f>
        <v>164027684.845487</v>
      </c>
      <c r="H47" s="21">
        <f>+'X. Evaluacion Social'!N49</f>
        <v>530228624.301473</v>
      </c>
      <c r="I47" s="21">
        <f>+'X. Evaluacion Social'!O49</f>
        <v>25112921.7996578</v>
      </c>
      <c r="K47" s="36"/>
      <c r="L47" s="11"/>
    </row>
    <row r="48" spans="1:12">
      <c r="A48" s="20">
        <f t="shared" ref="A48:B54" si="2">A47+1</f>
        <v>33</v>
      </c>
      <c r="B48" s="20">
        <f t="shared" si="2"/>
        <v>2057</v>
      </c>
      <c r="C48" s="21">
        <f>+'X. Evaluacion Social'!I50</f>
        <v>703045663.468489</v>
      </c>
      <c r="D48" s="21">
        <f>+'X. Evaluacion Social'!J50</f>
        <v>0</v>
      </c>
      <c r="E48" s="21">
        <f>+'X. Evaluacion Social'!K50</f>
        <v>162252314.403482</v>
      </c>
      <c r="F48" s="21">
        <f>+'X. Evaluacion Social'!L50</f>
        <v>49394500</v>
      </c>
      <c r="G48" s="21">
        <f>+'X. Evaluacion Social'!M50</f>
        <v>211646814.403482</v>
      </c>
      <c r="H48" s="21">
        <f>+'X. Evaluacion Social'!N50</f>
        <v>491398849.065006</v>
      </c>
      <c r="I48" s="21">
        <f>+'X. Evaluacion Social'!O50</f>
        <v>21158044.42808</v>
      </c>
      <c r="K48" s="36"/>
      <c r="L48" s="11"/>
    </row>
    <row r="49" spans="1:12">
      <c r="A49" s="20">
        <f t="shared" si="2"/>
        <v>34</v>
      </c>
      <c r="B49" s="20">
        <f t="shared" si="2"/>
        <v>2058</v>
      </c>
      <c r="C49" s="21">
        <f>+'X. Evaluacion Social'!I51</f>
        <v>711863071.381862</v>
      </c>
      <c r="D49" s="21">
        <f>+'X. Evaluacion Social'!J51</f>
        <v>0</v>
      </c>
      <c r="E49" s="21">
        <f>+'X. Evaluacion Social'!K51</f>
        <v>162192303.55028</v>
      </c>
      <c r="F49" s="21">
        <f>+'X. Evaluacion Social'!L51</f>
        <v>14000000</v>
      </c>
      <c r="G49" s="21">
        <f>+'X. Evaluacion Social'!M51</f>
        <v>176192303.55028</v>
      </c>
      <c r="H49" s="21">
        <f>+'X. Evaluacion Social'!N51</f>
        <v>535670767.831582</v>
      </c>
      <c r="I49" s="21">
        <f>+'X. Evaluacion Social'!O51</f>
        <v>20967500.000105</v>
      </c>
      <c r="K49" s="36"/>
      <c r="L49" s="11"/>
    </row>
    <row r="50" spans="1:12">
      <c r="A50" s="20">
        <f t="shared" si="2"/>
        <v>35</v>
      </c>
      <c r="B50" s="20">
        <f t="shared" si="2"/>
        <v>2059</v>
      </c>
      <c r="C50" s="21">
        <f>+'X. Evaluacion Social'!I52</f>
        <v>720729467.048287</v>
      </c>
      <c r="D50" s="21">
        <f>+'X. Evaluacion Social'!J52</f>
        <v>0</v>
      </c>
      <c r="E50" s="21">
        <f>+'X. Evaluacion Social'!K52</f>
        <v>162100091.751457</v>
      </c>
      <c r="F50" s="21">
        <f>+'X. Evaluacion Social'!L52</f>
        <v>0</v>
      </c>
      <c r="G50" s="21">
        <f>+'X. Evaluacion Social'!M52</f>
        <v>162100091.751457</v>
      </c>
      <c r="H50" s="21">
        <f>+'X. Evaluacion Social'!N52</f>
        <v>558629375.29683</v>
      </c>
      <c r="I50" s="21">
        <f>+'X. Evaluacion Social'!O52</f>
        <v>19878325.0832323</v>
      </c>
      <c r="K50" s="36"/>
      <c r="L50" s="11"/>
    </row>
    <row r="51" spans="1:12">
      <c r="A51" s="20">
        <f t="shared" si="2"/>
        <v>36</v>
      </c>
      <c r="B51" s="20">
        <f t="shared" si="2"/>
        <v>2060</v>
      </c>
      <c r="C51" s="21">
        <f>+'X. Evaluacion Social'!I53</f>
        <v>729670792.682198</v>
      </c>
      <c r="D51" s="21">
        <f>+'X. Evaluacion Social'!J53</f>
        <v>0</v>
      </c>
      <c r="E51" s="21">
        <f>+'X. Evaluacion Social'!K53</f>
        <v>161979281.910019</v>
      </c>
      <c r="F51" s="21">
        <f>+'X. Evaluacion Social'!L53</f>
        <v>0</v>
      </c>
      <c r="G51" s="21">
        <f>+'X. Evaluacion Social'!M53</f>
        <v>161979281.910019</v>
      </c>
      <c r="H51" s="21">
        <f>+'X. Evaluacion Social'!N53</f>
        <v>567691510.772178</v>
      </c>
      <c r="I51" s="21">
        <f>+'X. Evaluacion Social'!O53</f>
        <v>18364357.3118329</v>
      </c>
      <c r="K51" s="36"/>
      <c r="L51" s="11"/>
    </row>
    <row r="52" spans="1:12">
      <c r="A52" s="20">
        <f t="shared" si="2"/>
        <v>37</v>
      </c>
      <c r="B52" s="20">
        <f t="shared" si="2"/>
        <v>2061</v>
      </c>
      <c r="C52" s="21">
        <f>+'X. Evaluacion Social'!I54</f>
        <v>738710454.487684</v>
      </c>
      <c r="D52" s="21">
        <f>+'X. Evaluacion Social'!J54</f>
        <v>0</v>
      </c>
      <c r="E52" s="21">
        <f>+'X. Evaluacion Social'!K54</f>
        <v>161832970.270739</v>
      </c>
      <c r="F52" s="21">
        <f>+'X. Evaluacion Social'!L54</f>
        <v>0</v>
      </c>
      <c r="G52" s="21">
        <f>+'X. Evaluacion Social'!M54</f>
        <v>161832970.270739</v>
      </c>
      <c r="H52" s="21">
        <f>+'X. Evaluacion Social'!N54</f>
        <v>576877484.216945</v>
      </c>
      <c r="I52" s="21">
        <f>+'X. Evaluacion Social'!O54</f>
        <v>16965014.5998567</v>
      </c>
      <c r="K52" s="36"/>
      <c r="L52" s="11"/>
    </row>
    <row r="53" spans="1:12">
      <c r="A53" s="20">
        <f t="shared" si="2"/>
        <v>38</v>
      </c>
      <c r="B53" s="20">
        <f t="shared" si="2"/>
        <v>2062</v>
      </c>
      <c r="C53" s="21">
        <f>+'X. Evaluacion Social'!I55</f>
        <v>747874234.92687</v>
      </c>
      <c r="D53" s="21">
        <f>+'X. Evaluacion Social'!J55</f>
        <v>0</v>
      </c>
      <c r="E53" s="21">
        <f>+'X. Evaluacion Social'!K55</f>
        <v>161664834.797101</v>
      </c>
      <c r="F53" s="21">
        <f>+'X. Evaluacion Social'!L55</f>
        <v>1750000</v>
      </c>
      <c r="G53" s="21">
        <f>+'X. Evaluacion Social'!M55</f>
        <v>163414834.797101</v>
      </c>
      <c r="H53" s="21">
        <f>+'X. Evaluacion Social'!N55</f>
        <v>584459400.129769</v>
      </c>
      <c r="I53" s="21">
        <f>+'X. Evaluacion Social'!O55</f>
        <v>15625442.0290175</v>
      </c>
      <c r="K53" s="36"/>
      <c r="L53" s="11"/>
    </row>
    <row r="54" spans="1:12">
      <c r="A54" s="20">
        <f t="shared" si="2"/>
        <v>39</v>
      </c>
      <c r="B54" s="20">
        <f t="shared" si="2"/>
        <v>2063</v>
      </c>
      <c r="C54" s="21">
        <f>+'X. Evaluacion Social'!I56</f>
        <v>757189160.348819</v>
      </c>
      <c r="D54" s="21">
        <f>+'X. Evaluacion Social'!J56</f>
        <v>0</v>
      </c>
      <c r="E54" s="21">
        <f>+'X. Evaluacion Social'!K56</f>
        <v>161478891.224749</v>
      </c>
      <c r="F54" s="21">
        <f>+'X. Evaluacion Social'!L56</f>
        <v>0</v>
      </c>
      <c r="G54" s="21">
        <f>+'X. Evaluacion Social'!M56</f>
        <v>161478891.224749</v>
      </c>
      <c r="H54" s="21">
        <f>+'X. Evaluacion Social'!N56</f>
        <v>595710269.12407</v>
      </c>
      <c r="I54" s="21">
        <f>+'X. Evaluacion Social'!O56</f>
        <v>14478393.1553933</v>
      </c>
      <c r="K54" s="36"/>
      <c r="L54" s="11"/>
    </row>
    <row r="55" spans="1:12">
      <c r="A55" s="22"/>
      <c r="B55" s="22"/>
      <c r="C55" s="23">
        <f>+SUM(C15:C54)/47</f>
        <v>477527992.999988</v>
      </c>
      <c r="D55" s="21">
        <f>+'X. Evaluacion Social'!J57</f>
        <v>1220645450.70894</v>
      </c>
      <c r="E55" s="22"/>
      <c r="F55" s="24"/>
      <c r="G55" s="22"/>
      <c r="H55" s="25" t="s">
        <v>1043</v>
      </c>
      <c r="I55" s="37">
        <f>SUM(I15:I54)</f>
        <v>1691088636.73467</v>
      </c>
      <c r="L55" s="38"/>
    </row>
    <row r="56" spans="1:12">
      <c r="A56" s="22"/>
      <c r="B56" s="22"/>
      <c r="C56" s="23"/>
      <c r="D56" s="22"/>
      <c r="E56" s="22"/>
      <c r="F56" s="26"/>
      <c r="G56" s="22"/>
      <c r="H56" s="25" t="s">
        <v>1044</v>
      </c>
      <c r="I56" s="39">
        <f>IRR(H15:H54)</f>
        <v>0.22253691875865</v>
      </c>
      <c r="L56" s="40"/>
    </row>
    <row r="57" spans="1:23">
      <c r="A57" s="22"/>
      <c r="B57" s="22"/>
      <c r="C57" s="23"/>
      <c r="D57" s="22"/>
      <c r="E57" s="22"/>
      <c r="F57" s="22"/>
      <c r="G57" s="22"/>
      <c r="H57" s="25" t="s">
        <v>1045</v>
      </c>
      <c r="I57" s="41">
        <f>+H18/D55</f>
        <v>0.222025328912623</v>
      </c>
      <c r="L57" s="42"/>
      <c r="M57" s="43" t="s">
        <v>1045</v>
      </c>
      <c r="P57" s="36"/>
      <c r="Q57" s="36"/>
      <c r="R57" s="36"/>
      <c r="S57" s="36"/>
      <c r="W57" s="36"/>
    </row>
    <row r="58" spans="1:19">
      <c r="A58" s="11"/>
      <c r="B58" s="11"/>
      <c r="C58" s="11"/>
      <c r="D58" s="11"/>
      <c r="E58" s="11"/>
      <c r="F58" s="11"/>
      <c r="G58" s="11"/>
      <c r="H58" s="11"/>
      <c r="I58" s="11"/>
      <c r="J58" s="11"/>
      <c r="K58" s="11"/>
      <c r="L58" s="11"/>
      <c r="M58" s="11"/>
      <c r="N58" s="11"/>
      <c r="O58" s="11"/>
      <c r="P58" s="11"/>
      <c r="Q58" s="11"/>
      <c r="R58" s="11"/>
      <c r="S58" s="11"/>
    </row>
    <row r="59" spans="2:38">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54"/>
    </row>
    <row r="60" ht="14.7" customHeight="1" spans="2:20">
      <c r="B60" s="27" t="s">
        <v>1059</v>
      </c>
      <c r="C60" s="28"/>
      <c r="D60" s="28"/>
      <c r="E60" s="28"/>
      <c r="F60" s="28"/>
      <c r="G60" s="28"/>
      <c r="H60" s="28"/>
      <c r="I60" s="28"/>
      <c r="J60" s="28"/>
      <c r="K60" s="44"/>
      <c r="T60" s="11"/>
    </row>
    <row r="61" spans="2:12">
      <c r="B61" s="29">
        <v>-0.38102</v>
      </c>
      <c r="C61" s="29"/>
      <c r="D61" s="30">
        <v>-0.3</v>
      </c>
      <c r="E61" s="30"/>
      <c r="F61" s="30">
        <v>-0.25</v>
      </c>
      <c r="G61" s="30"/>
      <c r="H61" s="30">
        <v>0.05</v>
      </c>
      <c r="I61" s="30"/>
      <c r="J61" s="30">
        <v>0.1</v>
      </c>
      <c r="K61" s="30"/>
      <c r="L61" s="11"/>
    </row>
    <row r="62" ht="22.5" spans="2:16">
      <c r="B62" s="31" t="s">
        <v>1040</v>
      </c>
      <c r="C62" s="31" t="s">
        <v>1054</v>
      </c>
      <c r="D62" s="31" t="s">
        <v>1040</v>
      </c>
      <c r="E62" s="31" t="s">
        <v>1054</v>
      </c>
      <c r="F62" s="31" t="s">
        <v>1040</v>
      </c>
      <c r="G62" s="31" t="s">
        <v>1054</v>
      </c>
      <c r="H62" s="31" t="s">
        <v>1040</v>
      </c>
      <c r="I62" s="31" t="s">
        <v>1054</v>
      </c>
      <c r="J62" s="31" t="s">
        <v>1040</v>
      </c>
      <c r="K62" s="31" t="s">
        <v>1054</v>
      </c>
      <c r="M62" s="45" t="s">
        <v>1052</v>
      </c>
      <c r="N62" s="46" t="s">
        <v>1060</v>
      </c>
      <c r="O62" s="45" t="s">
        <v>1043</v>
      </c>
      <c r="P62" s="45" t="s">
        <v>1044</v>
      </c>
    </row>
    <row r="63" spans="1:16">
      <c r="A63" s="1">
        <v>0</v>
      </c>
      <c r="B63" s="32">
        <f t="shared" ref="B63:B102" si="3">+(C15*(1+$B$61))-G15</f>
        <v>-117424759.296471</v>
      </c>
      <c r="C63" s="32">
        <f t="shared" ref="C63:C102" si="4">+B63/(1+$B$7)^A15</f>
        <v>-117424759.296471</v>
      </c>
      <c r="D63" s="33">
        <f t="shared" ref="D63:D102" si="5">+(C15*(1+$D$61))-G15</f>
        <v>-117424759.296471</v>
      </c>
      <c r="E63" s="33">
        <f t="shared" ref="E63:E102" si="6">+D63/(1+$B$7)^A15</f>
        <v>-117424759.296471</v>
      </c>
      <c r="F63" s="33">
        <f t="shared" ref="F63:F102" si="7">+(C15*(1+$F$61))-G15</f>
        <v>-117424759.296471</v>
      </c>
      <c r="G63" s="33">
        <f t="shared" ref="G63:G102" si="8">+F63/(1+$B$7)^A15</f>
        <v>-117424759.296471</v>
      </c>
      <c r="H63" s="33">
        <f t="shared" ref="H63:H102" si="9">+(C15*(1+$H$61))-G15</f>
        <v>-117424759.296471</v>
      </c>
      <c r="I63" s="33">
        <f t="shared" ref="I63:I102" si="10">+H63/(1+$B$7)^A15</f>
        <v>-117424759.296471</v>
      </c>
      <c r="J63" s="33">
        <f t="shared" ref="J63:J102" si="11">+(C15*(1+$J$61))-G15</f>
        <v>-117424759.296471</v>
      </c>
      <c r="K63" s="33">
        <f t="shared" ref="K63:K102" si="12">+J63/(1+$B$7)^A15</f>
        <v>-117424759.296471</v>
      </c>
      <c r="M63" s="47">
        <f>B61</f>
        <v>-0.38102</v>
      </c>
      <c r="N63" s="48">
        <f>+$C$55*(1+M63)</f>
        <v>295580277.107133</v>
      </c>
      <c r="O63" s="49">
        <f>C103</f>
        <v>-194995.947439831</v>
      </c>
      <c r="P63" s="50">
        <f>C104</f>
        <v>0.0999851842201782</v>
      </c>
    </row>
    <row r="64" spans="1:16">
      <c r="A64" s="1">
        <v>1</v>
      </c>
      <c r="B64" s="32">
        <f t="shared" si="3"/>
        <v>-1041540516.36487</v>
      </c>
      <c r="C64" s="32">
        <f t="shared" si="4"/>
        <v>-946855014.877157</v>
      </c>
      <c r="D64" s="33">
        <f t="shared" si="5"/>
        <v>-1041540516.36487</v>
      </c>
      <c r="E64" s="33">
        <f t="shared" si="6"/>
        <v>-946855014.877157</v>
      </c>
      <c r="F64" s="33">
        <f t="shared" si="7"/>
        <v>-1041540516.36487</v>
      </c>
      <c r="G64" s="33">
        <f t="shared" si="8"/>
        <v>-946855014.877157</v>
      </c>
      <c r="H64" s="33">
        <f t="shared" si="9"/>
        <v>-1041540516.36487</v>
      </c>
      <c r="I64" s="33">
        <f t="shared" si="10"/>
        <v>-946855014.877157</v>
      </c>
      <c r="J64" s="33">
        <f t="shared" si="11"/>
        <v>-1041540516.36487</v>
      </c>
      <c r="K64" s="33">
        <f t="shared" si="12"/>
        <v>-946855014.877157</v>
      </c>
      <c r="M64" s="51">
        <f>D61</f>
        <v>-0.3</v>
      </c>
      <c r="N64" s="48">
        <f t="shared" ref="N64:N67" si="13">+$C$55*(1+M64)</f>
        <v>334269595.099992</v>
      </c>
      <c r="O64" s="52">
        <f>E103</f>
        <v>359439143.782507</v>
      </c>
      <c r="P64" s="53">
        <f>E104</f>
        <v>0.126813799932344</v>
      </c>
    </row>
    <row r="65" spans="1:16">
      <c r="A65" s="1">
        <v>2</v>
      </c>
      <c r="B65" s="32">
        <f t="shared" si="3"/>
        <v>-64767445.7095641</v>
      </c>
      <c r="C65" s="32">
        <f t="shared" si="4"/>
        <v>-53526814.6360034</v>
      </c>
      <c r="D65" s="33">
        <f t="shared" si="5"/>
        <v>-31511826.362424</v>
      </c>
      <c r="E65" s="33">
        <f t="shared" si="6"/>
        <v>-26042831.7044827</v>
      </c>
      <c r="F65" s="33">
        <f t="shared" si="7"/>
        <v>-10988733.7018833</v>
      </c>
      <c r="G65" s="33">
        <f t="shared" si="8"/>
        <v>-9081598.10073001</v>
      </c>
      <c r="H65" s="33">
        <f t="shared" si="9"/>
        <v>112149822.261361</v>
      </c>
      <c r="I65" s="33">
        <f t="shared" si="10"/>
        <v>92685803.5217858</v>
      </c>
      <c r="J65" s="33">
        <f t="shared" si="11"/>
        <v>132672914.921902</v>
      </c>
      <c r="K65" s="33">
        <f t="shared" si="12"/>
        <v>109647037.125538</v>
      </c>
      <c r="M65" s="51">
        <f>F61</f>
        <v>-0.25</v>
      </c>
      <c r="N65" s="48">
        <f t="shared" si="13"/>
        <v>358145994.749991</v>
      </c>
      <c r="O65" s="52">
        <f>+G103</f>
        <v>581380725.941201</v>
      </c>
      <c r="P65" s="53">
        <f>+G104</f>
        <v>0.143027365673243</v>
      </c>
    </row>
    <row r="66" spans="1:16">
      <c r="A66" s="1">
        <v>3</v>
      </c>
      <c r="B66" s="32">
        <f t="shared" si="3"/>
        <v>110114595.904992</v>
      </c>
      <c r="C66" s="32">
        <f t="shared" si="4"/>
        <v>82730725.6987167</v>
      </c>
      <c r="D66" s="33">
        <f t="shared" si="5"/>
        <v>144328250.164502</v>
      </c>
      <c r="E66" s="33">
        <f t="shared" si="6"/>
        <v>108435950.536816</v>
      </c>
      <c r="F66" s="33">
        <f t="shared" si="7"/>
        <v>165442576.416977</v>
      </c>
      <c r="G66" s="33">
        <f t="shared" si="8"/>
        <v>124299456.361365</v>
      </c>
      <c r="H66" s="33">
        <f t="shared" si="9"/>
        <v>292128533.931826</v>
      </c>
      <c r="I66" s="33">
        <f t="shared" si="10"/>
        <v>219480491.308659</v>
      </c>
      <c r="J66" s="33">
        <f t="shared" si="11"/>
        <v>313242860.1843</v>
      </c>
      <c r="K66" s="33">
        <f t="shared" si="12"/>
        <v>235343997.133208</v>
      </c>
      <c r="M66" s="57">
        <f>H61</f>
        <v>0.05</v>
      </c>
      <c r="N66" s="48">
        <f t="shared" si="13"/>
        <v>501404392.649988</v>
      </c>
      <c r="O66" s="58">
        <f>+I103</f>
        <v>1913030218.89336</v>
      </c>
      <c r="P66" s="59">
        <f>+I104</f>
        <v>0.238288586566411</v>
      </c>
    </row>
    <row r="67" spans="1:16">
      <c r="A67" s="1">
        <v>4</v>
      </c>
      <c r="B67" s="32">
        <f t="shared" si="3"/>
        <v>116353477.8003</v>
      </c>
      <c r="C67" s="32">
        <f t="shared" si="4"/>
        <v>79470990.9161261</v>
      </c>
      <c r="D67" s="33">
        <f t="shared" si="5"/>
        <v>151482592.293002</v>
      </c>
      <c r="E67" s="33">
        <f t="shared" si="6"/>
        <v>103464648.789701</v>
      </c>
      <c r="F67" s="33">
        <f t="shared" si="7"/>
        <v>173161877.958703</v>
      </c>
      <c r="G67" s="33">
        <f t="shared" si="8"/>
        <v>118271892.602078</v>
      </c>
      <c r="H67" s="33">
        <f t="shared" si="9"/>
        <v>303237591.952907</v>
      </c>
      <c r="I67" s="33">
        <f t="shared" si="10"/>
        <v>207115355.476338</v>
      </c>
      <c r="J67" s="33">
        <f t="shared" si="11"/>
        <v>324916877.618608</v>
      </c>
      <c r="K67" s="33">
        <f t="shared" si="12"/>
        <v>221922599.288715</v>
      </c>
      <c r="M67" s="60">
        <f>J61</f>
        <v>0.1</v>
      </c>
      <c r="N67" s="48">
        <f t="shared" si="13"/>
        <v>525280792.299987</v>
      </c>
      <c r="O67" s="52">
        <f>K103</f>
        <v>2134971801.05206</v>
      </c>
      <c r="P67" s="53">
        <f>K104</f>
        <v>0.254009036862143</v>
      </c>
    </row>
    <row r="68" spans="1:11">
      <c r="A68" s="1">
        <v>5</v>
      </c>
      <c r="B68" s="32">
        <f t="shared" si="3"/>
        <v>122337914.346021</v>
      </c>
      <c r="C68" s="32">
        <f t="shared" si="4"/>
        <v>75962219.6360289</v>
      </c>
      <c r="D68" s="33">
        <f t="shared" si="5"/>
        <v>158343242.425991</v>
      </c>
      <c r="E68" s="33">
        <f t="shared" si="6"/>
        <v>98318695.5846225</v>
      </c>
      <c r="F68" s="33">
        <f t="shared" si="7"/>
        <v>180563267.160605</v>
      </c>
      <c r="G68" s="33">
        <f t="shared" si="8"/>
        <v>112115582.741247</v>
      </c>
      <c r="H68" s="33">
        <f t="shared" si="9"/>
        <v>313883415.568293</v>
      </c>
      <c r="I68" s="33">
        <f t="shared" si="10"/>
        <v>194896905.680991</v>
      </c>
      <c r="J68" s="33">
        <f t="shared" si="11"/>
        <v>336103440.302908</v>
      </c>
      <c r="K68" s="33">
        <f t="shared" si="12"/>
        <v>208693792.837615</v>
      </c>
    </row>
    <row r="69" spans="1:11">
      <c r="A69" s="1">
        <v>6</v>
      </c>
      <c r="B69" s="32">
        <f t="shared" si="3"/>
        <v>128093741.68158</v>
      </c>
      <c r="C69" s="32">
        <f t="shared" si="4"/>
        <v>72305577.7822949</v>
      </c>
      <c r="D69" s="33">
        <f t="shared" si="5"/>
        <v>164940344.46077</v>
      </c>
      <c r="E69" s="33">
        <f t="shared" si="6"/>
        <v>93104524.4621943</v>
      </c>
      <c r="F69" s="33">
        <f t="shared" si="7"/>
        <v>187679546.373377</v>
      </c>
      <c r="G69" s="33">
        <f t="shared" si="8"/>
        <v>105940211.13209</v>
      </c>
      <c r="H69" s="33">
        <f t="shared" si="9"/>
        <v>324114757.849022</v>
      </c>
      <c r="I69" s="33">
        <f t="shared" si="10"/>
        <v>182954331.151466</v>
      </c>
      <c r="J69" s="33">
        <f t="shared" si="11"/>
        <v>346853959.76163</v>
      </c>
      <c r="K69" s="33">
        <f t="shared" si="12"/>
        <v>195790017.821362</v>
      </c>
    </row>
    <row r="70" spans="1:11">
      <c r="A70" s="1">
        <v>7</v>
      </c>
      <c r="B70" s="32">
        <f t="shared" si="3"/>
        <v>133971367.0221</v>
      </c>
      <c r="C70" s="32">
        <f t="shared" si="4"/>
        <v>68748494.5978562</v>
      </c>
      <c r="D70" s="33">
        <f t="shared" si="5"/>
        <v>171671144.042091</v>
      </c>
      <c r="E70" s="33">
        <f t="shared" si="6"/>
        <v>88094441.2311518</v>
      </c>
      <c r="F70" s="33">
        <f t="shared" si="7"/>
        <v>194936866.715499</v>
      </c>
      <c r="G70" s="33">
        <f t="shared" si="8"/>
        <v>100033435.697516</v>
      </c>
      <c r="H70" s="33">
        <f t="shared" si="9"/>
        <v>334531202.755949</v>
      </c>
      <c r="I70" s="33">
        <f t="shared" si="10"/>
        <v>171667402.495698</v>
      </c>
      <c r="J70" s="33">
        <f t="shared" si="11"/>
        <v>357796925.429357</v>
      </c>
      <c r="K70" s="33">
        <f t="shared" si="12"/>
        <v>183606396.962061</v>
      </c>
    </row>
    <row r="71" spans="1:11">
      <c r="A71" s="1">
        <v>8</v>
      </c>
      <c r="B71" s="32">
        <f t="shared" si="3"/>
        <v>137999247.315804</v>
      </c>
      <c r="C71" s="32">
        <f t="shared" si="4"/>
        <v>64377667.3362109</v>
      </c>
      <c r="D71" s="33">
        <f t="shared" si="5"/>
        <v>176535974.150599</v>
      </c>
      <c r="E71" s="33">
        <f t="shared" si="6"/>
        <v>82355334.8137693</v>
      </c>
      <c r="F71" s="33">
        <f t="shared" si="7"/>
        <v>200318204.979281</v>
      </c>
      <c r="G71" s="33">
        <f t="shared" si="8"/>
        <v>93449921.0132006</v>
      </c>
      <c r="H71" s="33">
        <f t="shared" si="9"/>
        <v>343011589.951369</v>
      </c>
      <c r="I71" s="33">
        <f t="shared" si="10"/>
        <v>160017438.209788</v>
      </c>
      <c r="J71" s="33">
        <f t="shared" si="11"/>
        <v>366793820.78005</v>
      </c>
      <c r="K71" s="33">
        <f t="shared" si="12"/>
        <v>171112024.40922</v>
      </c>
    </row>
    <row r="72" spans="1:11">
      <c r="A72" s="1">
        <v>9</v>
      </c>
      <c r="B72" s="32">
        <f t="shared" si="3"/>
        <v>113070059.298315</v>
      </c>
      <c r="C72" s="32">
        <f t="shared" si="4"/>
        <v>47952742.8576508</v>
      </c>
      <c r="D72" s="33">
        <f t="shared" si="5"/>
        <v>152431050.259958</v>
      </c>
      <c r="E72" s="33">
        <f t="shared" si="6"/>
        <v>64645645.3812648</v>
      </c>
      <c r="F72" s="33">
        <f t="shared" si="7"/>
        <v>176721960.505357</v>
      </c>
      <c r="G72" s="33">
        <f t="shared" si="8"/>
        <v>74947362.5644382</v>
      </c>
      <c r="H72" s="33">
        <f t="shared" si="9"/>
        <v>322467421.977748</v>
      </c>
      <c r="I72" s="33">
        <f t="shared" si="10"/>
        <v>136757665.663478</v>
      </c>
      <c r="J72" s="33">
        <f t="shared" si="11"/>
        <v>346758332.223146</v>
      </c>
      <c r="K72" s="33">
        <f t="shared" si="12"/>
        <v>147059382.846651</v>
      </c>
    </row>
    <row r="73" spans="1:11">
      <c r="A73" s="1">
        <v>10</v>
      </c>
      <c r="B73" s="32">
        <f t="shared" si="3"/>
        <v>25596331.2369315</v>
      </c>
      <c r="C73" s="32">
        <f t="shared" si="4"/>
        <v>9868493.74241444</v>
      </c>
      <c r="D73" s="33">
        <f t="shared" si="5"/>
        <v>65772159.9108195</v>
      </c>
      <c r="E73" s="33">
        <f t="shared" si="6"/>
        <v>25358014.8849025</v>
      </c>
      <c r="F73" s="33">
        <f t="shared" si="7"/>
        <v>90565932.234868</v>
      </c>
      <c r="G73" s="33">
        <f t="shared" si="8"/>
        <v>34917087.424083</v>
      </c>
      <c r="H73" s="33">
        <f t="shared" si="9"/>
        <v>239328566.179159</v>
      </c>
      <c r="I73" s="33">
        <f t="shared" si="10"/>
        <v>92271522.6591661</v>
      </c>
      <c r="J73" s="33">
        <f t="shared" si="11"/>
        <v>264122338.503207</v>
      </c>
      <c r="K73" s="33">
        <f t="shared" si="12"/>
        <v>101830595.198347</v>
      </c>
    </row>
    <row r="74" spans="1:11">
      <c r="A74" s="1">
        <v>11</v>
      </c>
      <c r="B74" s="32">
        <f t="shared" si="3"/>
        <v>156679495.791125</v>
      </c>
      <c r="C74" s="32">
        <f t="shared" si="4"/>
        <v>54915207.4486099</v>
      </c>
      <c r="D74" s="33">
        <f t="shared" si="5"/>
        <v>197662535.114282</v>
      </c>
      <c r="E74" s="33">
        <f t="shared" si="6"/>
        <v>69279512.7135823</v>
      </c>
      <c r="F74" s="33">
        <f t="shared" si="7"/>
        <v>222954462.615613</v>
      </c>
      <c r="G74" s="33">
        <f t="shared" si="8"/>
        <v>78144179.0089246</v>
      </c>
      <c r="H74" s="33">
        <f t="shared" si="9"/>
        <v>374706027.6236</v>
      </c>
      <c r="I74" s="33">
        <f t="shared" si="10"/>
        <v>131332176.780978</v>
      </c>
      <c r="J74" s="33">
        <f t="shared" si="11"/>
        <v>399997955.124931</v>
      </c>
      <c r="K74" s="33">
        <f t="shared" si="12"/>
        <v>140196843.07632</v>
      </c>
    </row>
    <row r="75" spans="1:11">
      <c r="A75" s="1">
        <v>12</v>
      </c>
      <c r="B75" s="32">
        <f t="shared" si="3"/>
        <v>162232747.014726</v>
      </c>
      <c r="C75" s="32">
        <f t="shared" si="4"/>
        <v>51692352.8406997</v>
      </c>
      <c r="D75" s="33">
        <f t="shared" si="5"/>
        <v>204016738.887781</v>
      </c>
      <c r="E75" s="33">
        <f t="shared" si="6"/>
        <v>65006020.3384139</v>
      </c>
      <c r="F75" s="33">
        <f t="shared" si="7"/>
        <v>229802959.495689</v>
      </c>
      <c r="G75" s="33">
        <f t="shared" si="8"/>
        <v>73222304.8963714</v>
      </c>
      <c r="H75" s="33">
        <f t="shared" si="9"/>
        <v>384520283.143139</v>
      </c>
      <c r="I75" s="33">
        <f t="shared" si="10"/>
        <v>122520012.244116</v>
      </c>
      <c r="J75" s="33">
        <f t="shared" si="11"/>
        <v>410306503.751047</v>
      </c>
      <c r="K75" s="33">
        <f t="shared" si="12"/>
        <v>130736296.802074</v>
      </c>
    </row>
    <row r="76" spans="1:11">
      <c r="A76" s="1">
        <v>13</v>
      </c>
      <c r="B76" s="32">
        <f t="shared" si="3"/>
        <v>118355211.783804</v>
      </c>
      <c r="C76" s="32">
        <f t="shared" si="4"/>
        <v>34283289.0099598</v>
      </c>
      <c r="D76" s="33">
        <f t="shared" si="5"/>
        <v>160933837.049108</v>
      </c>
      <c r="E76" s="33">
        <f t="shared" si="6"/>
        <v>46616800.0874751</v>
      </c>
      <c r="F76" s="33">
        <f t="shared" si="7"/>
        <v>187210451.011898</v>
      </c>
      <c r="G76" s="33">
        <f t="shared" si="8"/>
        <v>54228199.172587</v>
      </c>
      <c r="H76" s="33">
        <f t="shared" si="9"/>
        <v>344870134.788636</v>
      </c>
      <c r="I76" s="33">
        <f t="shared" si="10"/>
        <v>99896593.6832582</v>
      </c>
      <c r="J76" s="33">
        <f t="shared" si="11"/>
        <v>371146748.751426</v>
      </c>
      <c r="K76" s="33">
        <f t="shared" si="12"/>
        <v>107507992.76837</v>
      </c>
    </row>
    <row r="77" spans="1:11">
      <c r="A77" s="1">
        <v>14</v>
      </c>
      <c r="B77" s="32">
        <f t="shared" si="3"/>
        <v>173225578.491844</v>
      </c>
      <c r="C77" s="32">
        <f t="shared" si="4"/>
        <v>45615708.8621535</v>
      </c>
      <c r="D77" s="33">
        <f t="shared" si="5"/>
        <v>216591075.179039</v>
      </c>
      <c r="E77" s="33">
        <f t="shared" si="6"/>
        <v>57035199.4983987</v>
      </c>
      <c r="F77" s="33">
        <f t="shared" si="7"/>
        <v>243353292.339736</v>
      </c>
      <c r="G77" s="33">
        <f t="shared" si="8"/>
        <v>64082527.7113369</v>
      </c>
      <c r="H77" s="33">
        <f t="shared" si="9"/>
        <v>403926595.303923</v>
      </c>
      <c r="I77" s="33">
        <f t="shared" si="10"/>
        <v>106366496.988966</v>
      </c>
      <c r="J77" s="33">
        <f t="shared" si="11"/>
        <v>430688812.464621</v>
      </c>
      <c r="K77" s="33">
        <f t="shared" si="12"/>
        <v>113413825.201905</v>
      </c>
    </row>
    <row r="78" spans="1:11">
      <c r="A78" s="1">
        <v>15</v>
      </c>
      <c r="B78" s="32">
        <f t="shared" si="3"/>
        <v>178651836.038948</v>
      </c>
      <c r="C78" s="32">
        <f t="shared" si="4"/>
        <v>42767829.1529274</v>
      </c>
      <c r="D78" s="33">
        <f t="shared" si="5"/>
        <v>222794269.506234</v>
      </c>
      <c r="E78" s="33">
        <f t="shared" si="6"/>
        <v>53335176.764803</v>
      </c>
      <c r="F78" s="33">
        <f t="shared" si="7"/>
        <v>250035958.883724</v>
      </c>
      <c r="G78" s="33">
        <f t="shared" si="8"/>
        <v>59856620.6131587</v>
      </c>
      <c r="H78" s="33">
        <f t="shared" si="9"/>
        <v>413486095.148669</v>
      </c>
      <c r="I78" s="33">
        <f t="shared" si="10"/>
        <v>98985283.7032928</v>
      </c>
      <c r="J78" s="33">
        <f t="shared" si="11"/>
        <v>440727784.52616</v>
      </c>
      <c r="K78" s="33">
        <f t="shared" si="12"/>
        <v>105506727.551648</v>
      </c>
    </row>
    <row r="79" spans="1:11">
      <c r="A79" s="1">
        <v>16</v>
      </c>
      <c r="B79" s="32">
        <f t="shared" si="3"/>
        <v>182269639.049879</v>
      </c>
      <c r="C79" s="32">
        <f t="shared" si="4"/>
        <v>39667184.0272074</v>
      </c>
      <c r="D79" s="33">
        <f t="shared" si="5"/>
        <v>227176850.861142</v>
      </c>
      <c r="E79" s="33">
        <f t="shared" si="6"/>
        <v>49440301.7244378</v>
      </c>
      <c r="F79" s="33">
        <f t="shared" si="7"/>
        <v>254890509.100628</v>
      </c>
      <c r="G79" s="33">
        <f t="shared" si="8"/>
        <v>55471601.2166807</v>
      </c>
      <c r="H79" s="33">
        <f t="shared" si="9"/>
        <v>421172458.537545</v>
      </c>
      <c r="I79" s="33">
        <f t="shared" si="10"/>
        <v>91659398.170138</v>
      </c>
      <c r="J79" s="33">
        <f t="shared" si="11"/>
        <v>448886116.777031</v>
      </c>
      <c r="K79" s="33">
        <f t="shared" si="12"/>
        <v>97690697.6623809</v>
      </c>
    </row>
    <row r="80" spans="1:11">
      <c r="A80" s="1">
        <v>17</v>
      </c>
      <c r="B80" s="32">
        <f t="shared" si="3"/>
        <v>-38362589.7506017</v>
      </c>
      <c r="C80" s="32">
        <f t="shared" si="4"/>
        <v>-7589833.86735951</v>
      </c>
      <c r="D80" s="33">
        <f t="shared" si="5"/>
        <v>7295479.07929903</v>
      </c>
      <c r="E80" s="33">
        <f t="shared" si="6"/>
        <v>1443371.64291178</v>
      </c>
      <c r="F80" s="33">
        <f t="shared" si="7"/>
        <v>35472514.8913829</v>
      </c>
      <c r="G80" s="33">
        <f t="shared" si="8"/>
        <v>7018047.96374077</v>
      </c>
      <c r="H80" s="33">
        <f t="shared" si="9"/>
        <v>204534729.763886</v>
      </c>
      <c r="I80" s="33">
        <f t="shared" si="10"/>
        <v>40466105.8887147</v>
      </c>
      <c r="J80" s="33">
        <f t="shared" si="11"/>
        <v>232711765.57597</v>
      </c>
      <c r="K80" s="33">
        <f t="shared" si="12"/>
        <v>46040782.2095437</v>
      </c>
    </row>
    <row r="81" spans="1:11">
      <c r="A81" s="1">
        <v>18</v>
      </c>
      <c r="B81" s="32">
        <f t="shared" si="3"/>
        <v>178812357.748067</v>
      </c>
      <c r="C81" s="32">
        <f t="shared" si="4"/>
        <v>32160974.2853806</v>
      </c>
      <c r="D81" s="33">
        <f t="shared" si="5"/>
        <v>225207299.219723</v>
      </c>
      <c r="E81" s="33">
        <f t="shared" si="6"/>
        <v>40505512.3163816</v>
      </c>
      <c r="F81" s="33">
        <f t="shared" si="7"/>
        <v>253839082.40391</v>
      </c>
      <c r="G81" s="33">
        <f t="shared" si="8"/>
        <v>45655190.1928324</v>
      </c>
      <c r="H81" s="33">
        <f t="shared" si="9"/>
        <v>425629781.509031</v>
      </c>
      <c r="I81" s="33">
        <f t="shared" si="10"/>
        <v>76553257.4515374</v>
      </c>
      <c r="J81" s="33">
        <f t="shared" si="11"/>
        <v>454261564.693218</v>
      </c>
      <c r="K81" s="33">
        <f t="shared" si="12"/>
        <v>81702935.3279882</v>
      </c>
    </row>
    <row r="82" spans="1:11">
      <c r="A82" s="1">
        <v>19</v>
      </c>
      <c r="B82" s="32">
        <f t="shared" si="3"/>
        <v>199744222.426771</v>
      </c>
      <c r="C82" s="32">
        <f t="shared" si="4"/>
        <v>32659776.4882144</v>
      </c>
      <c r="D82" s="33">
        <f t="shared" si="5"/>
        <v>246862707.935345</v>
      </c>
      <c r="E82" s="33">
        <f t="shared" si="6"/>
        <v>40364025.3845116</v>
      </c>
      <c r="F82" s="33">
        <f t="shared" si="7"/>
        <v>275941012.988773</v>
      </c>
      <c r="G82" s="33">
        <f t="shared" si="8"/>
        <v>45118560.6204393</v>
      </c>
      <c r="H82" s="33">
        <f t="shared" si="9"/>
        <v>450410843.309337</v>
      </c>
      <c r="I82" s="33">
        <f t="shared" si="10"/>
        <v>73645772.0360053</v>
      </c>
      <c r="J82" s="33">
        <f t="shared" si="11"/>
        <v>479489148.362765</v>
      </c>
      <c r="K82" s="33">
        <f t="shared" si="12"/>
        <v>78400307.271933</v>
      </c>
    </row>
    <row r="83" spans="1:11">
      <c r="A83" s="1">
        <v>20</v>
      </c>
      <c r="B83" s="32">
        <f t="shared" si="3"/>
        <v>204880276.74049</v>
      </c>
      <c r="C83" s="32">
        <f t="shared" si="4"/>
        <v>30454147.6452969</v>
      </c>
      <c r="D83" s="33">
        <f t="shared" si="5"/>
        <v>252711078.295919</v>
      </c>
      <c r="E83" s="33">
        <f t="shared" si="6"/>
        <v>37563891.5197987</v>
      </c>
      <c r="F83" s="33">
        <f t="shared" si="7"/>
        <v>282228976.071424</v>
      </c>
      <c r="G83" s="33">
        <f t="shared" si="8"/>
        <v>41951538.9367957</v>
      </c>
      <c r="H83" s="33">
        <f t="shared" si="9"/>
        <v>459336362.724457</v>
      </c>
      <c r="I83" s="33">
        <f t="shared" si="10"/>
        <v>68277423.4387772</v>
      </c>
      <c r="J83" s="33">
        <f t="shared" si="11"/>
        <v>488854260.499962</v>
      </c>
      <c r="K83" s="33">
        <f t="shared" si="12"/>
        <v>72665070.8557741</v>
      </c>
    </row>
    <row r="84" spans="1:11">
      <c r="A84" s="1">
        <v>21</v>
      </c>
      <c r="B84" s="32">
        <f t="shared" si="3"/>
        <v>209981421.740191</v>
      </c>
      <c r="C84" s="32">
        <f t="shared" si="4"/>
        <v>28374909.4046634</v>
      </c>
      <c r="D84" s="33">
        <f t="shared" si="5"/>
        <v>258515197.533874</v>
      </c>
      <c r="E84" s="33">
        <f t="shared" si="6"/>
        <v>34933306.2371029</v>
      </c>
      <c r="F84" s="33">
        <f t="shared" si="7"/>
        <v>288466922.906426</v>
      </c>
      <c r="G84" s="33">
        <f t="shared" si="8"/>
        <v>38980699.9870655</v>
      </c>
      <c r="H84" s="33">
        <f t="shared" si="9"/>
        <v>468177275.141738</v>
      </c>
      <c r="I84" s="33">
        <f t="shared" si="10"/>
        <v>63265062.4868414</v>
      </c>
      <c r="J84" s="33">
        <f t="shared" si="11"/>
        <v>498129000.51429</v>
      </c>
      <c r="K84" s="33">
        <f t="shared" si="12"/>
        <v>67312456.2368041</v>
      </c>
    </row>
    <row r="85" spans="1:11">
      <c r="A85" s="1">
        <v>22</v>
      </c>
      <c r="B85" s="32">
        <f t="shared" si="3"/>
        <v>26325757.1059563</v>
      </c>
      <c r="C85" s="32">
        <f t="shared" si="4"/>
        <v>3234013.26174522</v>
      </c>
      <c r="D85" s="33">
        <f t="shared" si="5"/>
        <v>75556285.6089829</v>
      </c>
      <c r="E85" s="33">
        <f t="shared" si="6"/>
        <v>9281785.46524594</v>
      </c>
      <c r="F85" s="33">
        <f t="shared" si="7"/>
        <v>105937999.076662</v>
      </c>
      <c r="G85" s="33">
        <f t="shared" si="8"/>
        <v>13014056.6350193</v>
      </c>
      <c r="H85" s="33">
        <f t="shared" si="9"/>
        <v>288228279.882734</v>
      </c>
      <c r="I85" s="33">
        <f t="shared" si="10"/>
        <v>35407683.6536594</v>
      </c>
      <c r="J85" s="33">
        <f t="shared" si="11"/>
        <v>318609993.350413</v>
      </c>
      <c r="K85" s="33">
        <f t="shared" si="12"/>
        <v>39139954.8234327</v>
      </c>
    </row>
    <row r="86" spans="1:11">
      <c r="A86" s="1">
        <v>23</v>
      </c>
      <c r="B86" s="32">
        <f t="shared" si="3"/>
        <v>170756647.55024</v>
      </c>
      <c r="C86" s="32">
        <f t="shared" si="4"/>
        <v>19069787.8295324</v>
      </c>
      <c r="D86" s="33">
        <f t="shared" si="5"/>
        <v>220680550.440483</v>
      </c>
      <c r="E86" s="33">
        <f t="shared" si="6"/>
        <v>24645197.3342136</v>
      </c>
      <c r="F86" s="33">
        <f t="shared" si="7"/>
        <v>251490167.134042</v>
      </c>
      <c r="G86" s="33">
        <f t="shared" si="8"/>
        <v>28085958.5688972</v>
      </c>
      <c r="H86" s="33">
        <f t="shared" si="9"/>
        <v>436347867.295398</v>
      </c>
      <c r="I86" s="33">
        <f t="shared" si="10"/>
        <v>48730525.9769988</v>
      </c>
      <c r="J86" s="33">
        <f t="shared" si="11"/>
        <v>467157483.988957</v>
      </c>
      <c r="K86" s="33">
        <f t="shared" si="12"/>
        <v>52171287.2116824</v>
      </c>
    </row>
    <row r="87" spans="1:11">
      <c r="A87" s="1">
        <v>24</v>
      </c>
      <c r="B87" s="32">
        <f t="shared" si="3"/>
        <v>223501478.417596</v>
      </c>
      <c r="C87" s="32">
        <f t="shared" si="4"/>
        <v>22691121.2490618</v>
      </c>
      <c r="D87" s="33">
        <f t="shared" si="5"/>
        <v>274117986.901974</v>
      </c>
      <c r="E87" s="33">
        <f t="shared" si="6"/>
        <v>27829992.5413456</v>
      </c>
      <c r="F87" s="33">
        <f t="shared" si="7"/>
        <v>305355032.374931</v>
      </c>
      <c r="G87" s="33">
        <f t="shared" si="8"/>
        <v>31001352.2625773</v>
      </c>
      <c r="H87" s="33">
        <f t="shared" si="9"/>
        <v>492777305.212667</v>
      </c>
      <c r="I87" s="33">
        <f t="shared" si="10"/>
        <v>50029510.5899676</v>
      </c>
      <c r="J87" s="33">
        <f t="shared" si="11"/>
        <v>524014350.685623</v>
      </c>
      <c r="K87" s="33">
        <f t="shared" si="12"/>
        <v>53200870.3111993</v>
      </c>
    </row>
    <row r="88" spans="1:11">
      <c r="A88" s="1">
        <v>25</v>
      </c>
      <c r="B88" s="32">
        <f t="shared" si="3"/>
        <v>230379527.842289</v>
      </c>
      <c r="C88" s="32">
        <f t="shared" si="4"/>
        <v>21263108.4817647</v>
      </c>
      <c r="D88" s="33">
        <f t="shared" si="5"/>
        <v>281689919.478327</v>
      </c>
      <c r="E88" s="33">
        <f t="shared" si="6"/>
        <v>25998852.294669</v>
      </c>
      <c r="F88" s="33">
        <f t="shared" si="7"/>
        <v>313355182.151765</v>
      </c>
      <c r="G88" s="33">
        <f t="shared" si="8"/>
        <v>28921429.3206529</v>
      </c>
      <c r="H88" s="33">
        <f t="shared" si="9"/>
        <v>503346758.192392</v>
      </c>
      <c r="I88" s="33">
        <f t="shared" si="10"/>
        <v>46456891.4765561</v>
      </c>
      <c r="J88" s="33">
        <f t="shared" si="11"/>
        <v>535012020.86583</v>
      </c>
      <c r="K88" s="33">
        <f t="shared" si="12"/>
        <v>49379468.50254</v>
      </c>
    </row>
    <row r="89" spans="1:11">
      <c r="A89" s="1">
        <v>26</v>
      </c>
      <c r="B89" s="32">
        <f t="shared" si="3"/>
        <v>221545110.125507</v>
      </c>
      <c r="C89" s="32">
        <f t="shared" si="4"/>
        <v>18588842.8002557</v>
      </c>
      <c r="D89" s="33">
        <f t="shared" si="5"/>
        <v>273552217.275707</v>
      </c>
      <c r="E89" s="33">
        <f t="shared" si="6"/>
        <v>22952522.6791004</v>
      </c>
      <c r="F89" s="33">
        <f t="shared" si="7"/>
        <v>305647445.08995</v>
      </c>
      <c r="G89" s="33">
        <f t="shared" si="8"/>
        <v>25645487.3044058</v>
      </c>
      <c r="H89" s="33">
        <f t="shared" si="9"/>
        <v>498218811.975411</v>
      </c>
      <c r="I89" s="33">
        <f t="shared" si="10"/>
        <v>41803275.0562378</v>
      </c>
      <c r="J89" s="33">
        <f t="shared" si="11"/>
        <v>530314039.789655</v>
      </c>
      <c r="K89" s="33">
        <f t="shared" si="12"/>
        <v>44496239.6815431</v>
      </c>
    </row>
    <row r="90" spans="1:11">
      <c r="A90" s="1">
        <v>27</v>
      </c>
      <c r="B90" s="32">
        <f t="shared" si="3"/>
        <v>240753792.753099</v>
      </c>
      <c r="C90" s="32">
        <f t="shared" si="4"/>
        <v>18364141.832282</v>
      </c>
      <c r="D90" s="33">
        <f t="shared" si="5"/>
        <v>293461151.961362</v>
      </c>
      <c r="E90" s="33">
        <f t="shared" si="6"/>
        <v>22384537.1458388</v>
      </c>
      <c r="F90" s="33">
        <f t="shared" si="7"/>
        <v>325988527.42931</v>
      </c>
      <c r="G90" s="33">
        <f t="shared" si="8"/>
        <v>24865650.0275697</v>
      </c>
      <c r="H90" s="33">
        <f t="shared" si="9"/>
        <v>521152780.236998</v>
      </c>
      <c r="I90" s="33">
        <f t="shared" si="10"/>
        <v>39752327.3179552</v>
      </c>
      <c r="J90" s="33">
        <f t="shared" si="11"/>
        <v>553680155.704946</v>
      </c>
      <c r="K90" s="33">
        <f t="shared" si="12"/>
        <v>42233440.1996861</v>
      </c>
    </row>
    <row r="91" spans="1:11">
      <c r="A91" s="1">
        <v>28</v>
      </c>
      <c r="B91" s="32">
        <f t="shared" si="3"/>
        <v>244258815.573999</v>
      </c>
      <c r="C91" s="32">
        <f t="shared" si="4"/>
        <v>16937724.4154393</v>
      </c>
      <c r="D91" s="33">
        <f t="shared" si="5"/>
        <v>297670200.784401</v>
      </c>
      <c r="E91" s="33">
        <f t="shared" si="6"/>
        <v>20641448.7670649</v>
      </c>
      <c r="F91" s="33">
        <f t="shared" si="7"/>
        <v>330632052.926095</v>
      </c>
      <c r="G91" s="33">
        <f t="shared" si="8"/>
        <v>22927134.0001096</v>
      </c>
      <c r="H91" s="33">
        <f t="shared" si="9"/>
        <v>528403165.776262</v>
      </c>
      <c r="I91" s="33">
        <f t="shared" si="10"/>
        <v>36641245.3983777</v>
      </c>
      <c r="J91" s="33">
        <f t="shared" si="11"/>
        <v>561365017.917957</v>
      </c>
      <c r="K91" s="33">
        <f t="shared" si="12"/>
        <v>38926930.6314224</v>
      </c>
    </row>
    <row r="92" spans="1:11">
      <c r="A92" s="1">
        <v>29</v>
      </c>
      <c r="B92" s="32">
        <f t="shared" si="3"/>
        <v>251308835.163551</v>
      </c>
      <c r="C92" s="32">
        <f t="shared" si="4"/>
        <v>15842360.3525273</v>
      </c>
      <c r="D92" s="33">
        <f t="shared" si="5"/>
        <v>305427323.757326</v>
      </c>
      <c r="E92" s="33">
        <f t="shared" si="6"/>
        <v>19253957.8694978</v>
      </c>
      <c r="F92" s="33">
        <f t="shared" si="7"/>
        <v>338825551.721887</v>
      </c>
      <c r="G92" s="33">
        <f t="shared" si="8"/>
        <v>21359362.4097166</v>
      </c>
      <c r="H92" s="33">
        <f t="shared" si="9"/>
        <v>539214919.509255</v>
      </c>
      <c r="I92" s="33">
        <f t="shared" si="10"/>
        <v>33991789.6510293</v>
      </c>
      <c r="J92" s="33">
        <f t="shared" si="11"/>
        <v>572613147.473817</v>
      </c>
      <c r="K92" s="33">
        <f t="shared" si="12"/>
        <v>36097194.1912481</v>
      </c>
    </row>
    <row r="93" spans="1:11">
      <c r="A93" s="1">
        <v>30</v>
      </c>
      <c r="B93" s="32">
        <f t="shared" si="3"/>
        <v>93402664.604669</v>
      </c>
      <c r="C93" s="32">
        <f t="shared" si="4"/>
        <v>5352771.58296779</v>
      </c>
      <c r="D93" s="33">
        <f t="shared" si="5"/>
        <v>148230219.237771</v>
      </c>
      <c r="E93" s="33">
        <f t="shared" si="6"/>
        <v>8494859.42003163</v>
      </c>
      <c r="F93" s="33">
        <f t="shared" si="7"/>
        <v>182066034.242154</v>
      </c>
      <c r="G93" s="33">
        <f t="shared" si="8"/>
        <v>10433941.0276988</v>
      </c>
      <c r="H93" s="33">
        <f t="shared" si="9"/>
        <v>385080924.268453</v>
      </c>
      <c r="I93" s="33">
        <f t="shared" si="10"/>
        <v>22068430.6737016</v>
      </c>
      <c r="J93" s="33">
        <f t="shared" si="11"/>
        <v>418916739.272836</v>
      </c>
      <c r="K93" s="33">
        <f t="shared" si="12"/>
        <v>24007512.2813688</v>
      </c>
    </row>
    <row r="94" spans="1:11">
      <c r="A94" s="1">
        <v>31</v>
      </c>
      <c r="B94" s="32">
        <f t="shared" si="3"/>
        <v>262031469.600828</v>
      </c>
      <c r="C94" s="32">
        <f t="shared" si="4"/>
        <v>13651494.9474567</v>
      </c>
      <c r="D94" s="33">
        <f t="shared" si="5"/>
        <v>317569136.704589</v>
      </c>
      <c r="E94" s="33">
        <f t="shared" si="6"/>
        <v>16544934.3614917</v>
      </c>
      <c r="F94" s="33">
        <f t="shared" si="7"/>
        <v>351843184.534607</v>
      </c>
      <c r="G94" s="33">
        <f t="shared" si="8"/>
        <v>18330567.1768674</v>
      </c>
      <c r="H94" s="33">
        <f t="shared" si="9"/>
        <v>557487471.514714</v>
      </c>
      <c r="I94" s="33">
        <f t="shared" si="10"/>
        <v>29044364.0691221</v>
      </c>
      <c r="J94" s="33">
        <f t="shared" si="11"/>
        <v>591761519.344732</v>
      </c>
      <c r="K94" s="33">
        <f t="shared" si="12"/>
        <v>30829996.8844979</v>
      </c>
    </row>
    <row r="95" spans="1:11">
      <c r="A95" s="1">
        <v>32</v>
      </c>
      <c r="B95" s="32">
        <f t="shared" si="3"/>
        <v>265703085.390298</v>
      </c>
      <c r="C95" s="32">
        <f t="shared" si="4"/>
        <v>12584346.6374997</v>
      </c>
      <c r="D95" s="33">
        <f t="shared" si="5"/>
        <v>321951731.557385</v>
      </c>
      <c r="E95" s="33">
        <f t="shared" si="6"/>
        <v>15248419.8085617</v>
      </c>
      <c r="F95" s="33">
        <f t="shared" si="7"/>
        <v>356664547.014733</v>
      </c>
      <c r="G95" s="33">
        <f t="shared" si="8"/>
        <v>16892503.4737444</v>
      </c>
      <c r="H95" s="33">
        <f t="shared" si="9"/>
        <v>564941439.758821</v>
      </c>
      <c r="I95" s="33">
        <f t="shared" si="10"/>
        <v>26757005.4648404</v>
      </c>
      <c r="J95" s="33">
        <f t="shared" si="11"/>
        <v>599654255.216169</v>
      </c>
      <c r="K95" s="33">
        <f t="shared" si="12"/>
        <v>28401089.1300231</v>
      </c>
    </row>
    <row r="96" spans="1:11">
      <c r="A96" s="1">
        <v>33</v>
      </c>
      <c r="B96" s="32">
        <f t="shared" si="3"/>
        <v>223524390.370243</v>
      </c>
      <c r="C96" s="32">
        <f t="shared" si="4"/>
        <v>9624236.99447343</v>
      </c>
      <c r="D96" s="33">
        <f t="shared" si="5"/>
        <v>280485150.02446</v>
      </c>
      <c r="E96" s="33">
        <f t="shared" si="6"/>
        <v>12076782.9980187</v>
      </c>
      <c r="F96" s="33">
        <f t="shared" si="7"/>
        <v>315637433.197884</v>
      </c>
      <c r="G96" s="33">
        <f t="shared" si="8"/>
        <v>13590326.5696956</v>
      </c>
      <c r="H96" s="33">
        <f t="shared" si="9"/>
        <v>526551132.238431</v>
      </c>
      <c r="I96" s="33">
        <f t="shared" si="10"/>
        <v>22671587.9997569</v>
      </c>
      <c r="J96" s="33">
        <f t="shared" si="11"/>
        <v>561703415.411855</v>
      </c>
      <c r="K96" s="33">
        <f t="shared" si="12"/>
        <v>24185131.5714338</v>
      </c>
    </row>
    <row r="97" spans="1:11">
      <c r="A97" s="1">
        <v>34</v>
      </c>
      <c r="B97" s="32">
        <f t="shared" si="3"/>
        <v>264436700.373665</v>
      </c>
      <c r="C97" s="32">
        <f t="shared" si="4"/>
        <v>10350716.9852805</v>
      </c>
      <c r="D97" s="33">
        <f t="shared" si="5"/>
        <v>322111846.417024</v>
      </c>
      <c r="E97" s="33">
        <f t="shared" si="6"/>
        <v>12608267.1397634</v>
      </c>
      <c r="F97" s="33">
        <f t="shared" si="7"/>
        <v>357704999.986117</v>
      </c>
      <c r="G97" s="33">
        <f t="shared" si="8"/>
        <v>14001472.616487</v>
      </c>
      <c r="H97" s="33">
        <f t="shared" si="9"/>
        <v>571263921.400676</v>
      </c>
      <c r="I97" s="33">
        <f t="shared" si="10"/>
        <v>22360705.4768287</v>
      </c>
      <c r="J97" s="33">
        <f t="shared" si="11"/>
        <v>606857074.969769</v>
      </c>
      <c r="K97" s="33">
        <f t="shared" si="12"/>
        <v>23753910.9535523</v>
      </c>
    </row>
    <row r="98" spans="1:11">
      <c r="A98" s="1">
        <v>35</v>
      </c>
      <c r="B98" s="32">
        <f t="shared" si="3"/>
        <v>284017033.762092</v>
      </c>
      <c r="C98" s="32">
        <f t="shared" si="4"/>
        <v>10106491.3088366</v>
      </c>
      <c r="D98" s="33">
        <f t="shared" si="5"/>
        <v>342410535.182344</v>
      </c>
      <c r="E98" s="33">
        <f t="shared" si="6"/>
        <v>12184371.6626279</v>
      </c>
      <c r="F98" s="33">
        <f t="shared" si="7"/>
        <v>378447008.534758</v>
      </c>
      <c r="G98" s="33">
        <f t="shared" si="8"/>
        <v>13466697.2327286</v>
      </c>
      <c r="H98" s="33">
        <f t="shared" si="9"/>
        <v>594665848.649244</v>
      </c>
      <c r="I98" s="33">
        <f t="shared" si="10"/>
        <v>21160650.6533331</v>
      </c>
      <c r="J98" s="33">
        <f t="shared" si="11"/>
        <v>630702322.001659</v>
      </c>
      <c r="K98" s="33">
        <f t="shared" si="12"/>
        <v>22442976.2234338</v>
      </c>
    </row>
    <row r="99" spans="1:11">
      <c r="A99" s="1">
        <v>36</v>
      </c>
      <c r="B99" s="32">
        <f t="shared" si="3"/>
        <v>289672345.344407</v>
      </c>
      <c r="C99" s="32">
        <f t="shared" si="4"/>
        <v>9370664.08836292</v>
      </c>
      <c r="D99" s="33">
        <f t="shared" si="5"/>
        <v>348790272.967519</v>
      </c>
      <c r="E99" s="33">
        <f t="shared" si="6"/>
        <v>11283080.8249267</v>
      </c>
      <c r="F99" s="33">
        <f t="shared" si="7"/>
        <v>385273812.601629</v>
      </c>
      <c r="G99" s="33">
        <f t="shared" si="8"/>
        <v>12463293.5727444</v>
      </c>
      <c r="H99" s="33">
        <f t="shared" si="9"/>
        <v>604175050.406288</v>
      </c>
      <c r="I99" s="33">
        <f t="shared" si="10"/>
        <v>19544570.0596506</v>
      </c>
      <c r="J99" s="33">
        <f t="shared" si="11"/>
        <v>640658590.040398</v>
      </c>
      <c r="K99" s="33">
        <f t="shared" si="12"/>
        <v>20724782.8074683</v>
      </c>
    </row>
    <row r="100" spans="1:11">
      <c r="A100" s="1">
        <v>37</v>
      </c>
      <c r="B100" s="32">
        <f t="shared" si="3"/>
        <v>295414026.848048</v>
      </c>
      <c r="C100" s="32">
        <f t="shared" si="4"/>
        <v>8687638.91050886</v>
      </c>
      <c r="D100" s="33">
        <f t="shared" si="5"/>
        <v>355264347.87064</v>
      </c>
      <c r="E100" s="33">
        <f t="shared" si="6"/>
        <v>10447738.0610809</v>
      </c>
      <c r="F100" s="33">
        <f t="shared" si="7"/>
        <v>392199870.595024</v>
      </c>
      <c r="G100" s="33">
        <f t="shared" si="8"/>
        <v>11533950.8175436</v>
      </c>
      <c r="H100" s="33">
        <f t="shared" si="9"/>
        <v>613813006.941329</v>
      </c>
      <c r="I100" s="33">
        <f t="shared" si="10"/>
        <v>18051227.3563194</v>
      </c>
      <c r="J100" s="33">
        <f t="shared" si="11"/>
        <v>650748529.665713</v>
      </c>
      <c r="K100" s="33">
        <f t="shared" si="12"/>
        <v>19137440.112782</v>
      </c>
    </row>
    <row r="101" spans="1:11">
      <c r="A101" s="1">
        <v>38</v>
      </c>
      <c r="B101" s="32">
        <f t="shared" si="3"/>
        <v>299504359.137933</v>
      </c>
      <c r="C101" s="32">
        <f t="shared" si="4"/>
        <v>8007208.02866496</v>
      </c>
      <c r="D101" s="33">
        <f t="shared" si="5"/>
        <v>360097129.651708</v>
      </c>
      <c r="E101" s="33">
        <f t="shared" si="6"/>
        <v>9627147.45102746</v>
      </c>
      <c r="F101" s="33">
        <f t="shared" si="7"/>
        <v>397490841.398052</v>
      </c>
      <c r="G101" s="33">
        <f t="shared" si="8"/>
        <v>10626863.2140258</v>
      </c>
      <c r="H101" s="33">
        <f t="shared" si="9"/>
        <v>621853111.876113</v>
      </c>
      <c r="I101" s="33">
        <f t="shared" si="10"/>
        <v>16625157.7920158</v>
      </c>
      <c r="J101" s="33">
        <f t="shared" si="11"/>
        <v>659246823.622456</v>
      </c>
      <c r="K101" s="33">
        <f t="shared" si="12"/>
        <v>17624873.5550141</v>
      </c>
    </row>
    <row r="102" spans="1:11">
      <c r="A102" s="1">
        <v>39</v>
      </c>
      <c r="B102" s="32">
        <f t="shared" si="3"/>
        <v>307206055.247963</v>
      </c>
      <c r="C102" s="32">
        <f t="shared" si="4"/>
        <v>7466465.2904802</v>
      </c>
      <c r="D102" s="33">
        <f t="shared" si="5"/>
        <v>368553521.019425</v>
      </c>
      <c r="E102" s="33">
        <f t="shared" si="6"/>
        <v>8957479.92387283</v>
      </c>
      <c r="F102" s="33">
        <f t="shared" si="7"/>
        <v>406412979.036866</v>
      </c>
      <c r="G102" s="33">
        <f t="shared" si="8"/>
        <v>9877632.12912625</v>
      </c>
      <c r="H102" s="33">
        <f t="shared" si="9"/>
        <v>633569727.141511</v>
      </c>
      <c r="I102" s="33">
        <f t="shared" si="10"/>
        <v>15398545.3606467</v>
      </c>
      <c r="J102" s="33">
        <f t="shared" si="11"/>
        <v>671429185.158952</v>
      </c>
      <c r="K102" s="33">
        <f t="shared" si="12"/>
        <v>16318697.5659001</v>
      </c>
    </row>
    <row r="103" spans="2:11">
      <c r="B103" s="55" t="s">
        <v>1043</v>
      </c>
      <c r="C103" s="32">
        <f>+SUM(C63:C102)</f>
        <v>-194995.947439831</v>
      </c>
      <c r="D103" s="55" t="s">
        <v>1043</v>
      </c>
      <c r="E103" s="32">
        <f>+SUM(E63:E102)</f>
        <v>359439143.782507</v>
      </c>
      <c r="F103" s="55" t="s">
        <v>1043</v>
      </c>
      <c r="G103" s="32">
        <f>+SUM(G63:G102)</f>
        <v>581380725.941201</v>
      </c>
      <c r="H103" s="55" t="s">
        <v>1043</v>
      </c>
      <c r="I103" s="32">
        <f>+SUM(I63:I102)</f>
        <v>1913030218.89336</v>
      </c>
      <c r="J103" s="55" t="s">
        <v>1043</v>
      </c>
      <c r="K103" s="32">
        <f>+SUM(K63:K102)</f>
        <v>2134971801.05206</v>
      </c>
    </row>
    <row r="104" spans="2:11">
      <c r="B104" s="55" t="s">
        <v>1044</v>
      </c>
      <c r="C104" s="56">
        <f>+IRR(B63:B102)</f>
        <v>0.0999851842201782</v>
      </c>
      <c r="D104" s="55" t="s">
        <v>1044</v>
      </c>
      <c r="E104" s="56">
        <f>+IRR(D63:D102)</f>
        <v>0.126813799932344</v>
      </c>
      <c r="F104" s="55" t="s">
        <v>1044</v>
      </c>
      <c r="G104" s="56">
        <f>+IRR(F63:F102)</f>
        <v>0.143027365673243</v>
      </c>
      <c r="H104" s="55" t="s">
        <v>1044</v>
      </c>
      <c r="I104" s="56">
        <f>+IRR(H63:H102)</f>
        <v>0.238288586566411</v>
      </c>
      <c r="J104" s="55" t="s">
        <v>1044</v>
      </c>
      <c r="K104" s="56">
        <f>+IRR(J63:J102)</f>
        <v>0.254009036862143</v>
      </c>
    </row>
  </sheetData>
  <mergeCells count="8">
    <mergeCell ref="A2:Q2"/>
    <mergeCell ref="A4:Q4"/>
    <mergeCell ref="B60:K60"/>
    <mergeCell ref="B61:C61"/>
    <mergeCell ref="D61:E61"/>
    <mergeCell ref="F61:G61"/>
    <mergeCell ref="H61:I61"/>
    <mergeCell ref="J61:K6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23</vt:i4>
      </vt:variant>
    </vt:vector>
  </HeadingPairs>
  <TitlesOfParts>
    <vt:vector size="23" baseType="lpstr">
      <vt:lpstr>I. Parametros Grales</vt:lpstr>
      <vt:lpstr>I.1 Proyecciones Población</vt:lpstr>
      <vt:lpstr>II. Caracterizacion RSU</vt:lpstr>
      <vt:lpstr>III. Sit. Actual O-D</vt:lpstr>
      <vt:lpstr>III.1 Recolección</vt:lpstr>
      <vt:lpstr>IV. Sit. Sin Proy O-D</vt:lpstr>
      <vt:lpstr>IV.1 CAE Alt 1</vt:lpstr>
      <vt:lpstr>IV.2 CAE Alt 2</vt:lpstr>
      <vt:lpstr>IV2.2. Costos Alt2</vt:lpstr>
      <vt:lpstr>IV2.3. CostosOPEX Alt2</vt:lpstr>
      <vt:lpstr>V. Sit.Con Proyecto</vt:lpstr>
      <vt:lpstr>V.2 Capacidad ET</vt:lpstr>
      <vt:lpstr>V.3 Capacidad Planta de CDR</vt:lpstr>
      <vt:lpstr>VI. Cuanti_Beneficios</vt:lpstr>
      <vt:lpstr>VII. Costos de Inversión</vt:lpstr>
      <vt:lpstr>VII.1 Calendario</vt:lpstr>
      <vt:lpstr>Hoja1</vt:lpstr>
      <vt:lpstr>IX. Costos MantenimientoMayor</vt:lpstr>
      <vt:lpstr>VIII. Costos Op y Mant</vt:lpstr>
      <vt:lpstr>X. Evaluacion Social</vt:lpstr>
      <vt:lpstr>XIa. Sensibilidad A</vt:lpstr>
      <vt:lpstr>XIb. Sensibilidad B</vt:lpstr>
      <vt:lpstr>XIc. Sensibilidad 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Santana</dc:creator>
  <cp:lastModifiedBy>sergio.fonseca</cp:lastModifiedBy>
  <dcterms:created xsi:type="dcterms:W3CDTF">2021-04-06T07:07:00Z</dcterms:created>
  <dcterms:modified xsi:type="dcterms:W3CDTF">2024-02-28T19:32:52Z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32346E6ED7FB4D0EB3EF0449298FAFB7_13</vt:lpwstr>
  </property>
  <property fmtid="{D5CDD505-2E9C-101B-9397-08002B2CF9AE}" pid="3" name="KSOProductBuildVer">
    <vt:lpwstr>2058-12.2.0.13489</vt:lpwstr>
  </property>
</Properties>
</file>