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15" windowWidth="13740" windowHeight="12120"/>
  </bookViews>
  <sheets>
    <sheet name="BD-PMD 2013-2016" sheetId="1" r:id="rId1"/>
  </sheets>
  <definedNames>
    <definedName name="_xlnm._FilterDatabase" localSheetId="0" hidden="1">'BD-PMD 2013-2016'!$A$2:$Q$2</definedName>
    <definedName name="_xlnm.Print_Area" localSheetId="0">'BD-PMD 2013-2016'!$A$1:$Q$299</definedName>
    <definedName name="_xlnm.Print_Titles" localSheetId="0">'BD-PMD 2013-2016'!$1:$2</definedName>
  </definedNames>
  <calcPr calcId="144525"/>
</workbook>
</file>

<file path=xl/calcChain.xml><?xml version="1.0" encoding="utf-8"?>
<calcChain xmlns="http://schemas.openxmlformats.org/spreadsheetml/2006/main">
  <c r="Q217" i="1" l="1"/>
  <c r="P217" i="1"/>
  <c r="Q194" i="1" l="1"/>
  <c r="P194" i="1"/>
  <c r="Q193" i="1"/>
  <c r="P193" i="1"/>
  <c r="Q370" i="1" l="1"/>
  <c r="Q369" i="1"/>
  <c r="Q368" i="1"/>
  <c r="Q367" i="1"/>
  <c r="Q366" i="1"/>
  <c r="Q365" i="1"/>
  <c r="Q364" i="1"/>
  <c r="Q363" i="1"/>
  <c r="Q362" i="1"/>
  <c r="Q361" i="1"/>
  <c r="Q359" i="1"/>
  <c r="Q358" i="1"/>
  <c r="Q356" i="1"/>
  <c r="Q354" i="1"/>
  <c r="Q353" i="1"/>
  <c r="Q349" i="1"/>
  <c r="Q345" i="1"/>
  <c r="Q344" i="1"/>
  <c r="Q343" i="1"/>
  <c r="Q341" i="1"/>
  <c r="Q340" i="1"/>
  <c r="Q338" i="1"/>
  <c r="Q337" i="1"/>
  <c r="Q336" i="1"/>
  <c r="Q335" i="1"/>
  <c r="Q334" i="1"/>
  <c r="Q333" i="1"/>
  <c r="Q332" i="1"/>
  <c r="Q331" i="1"/>
  <c r="Q330" i="1"/>
  <c r="Q329" i="1"/>
  <c r="Q328" i="1"/>
  <c r="Q326" i="1"/>
  <c r="Q324" i="1"/>
  <c r="Q323" i="1"/>
  <c r="Q322" i="1"/>
  <c r="Q321" i="1"/>
  <c r="Q320" i="1"/>
  <c r="Q318" i="1"/>
  <c r="Q317" i="1"/>
  <c r="Q316" i="1"/>
  <c r="Q313" i="1"/>
  <c r="Q312" i="1"/>
  <c r="Q311" i="1"/>
  <c r="Q310" i="1"/>
  <c r="Q309" i="1"/>
  <c r="Q308" i="1"/>
  <c r="Q307" i="1"/>
  <c r="Q306" i="1"/>
  <c r="Q305" i="1"/>
  <c r="Q304" i="1"/>
  <c r="Q303" i="1"/>
  <c r="Q302" i="1"/>
  <c r="Q301" i="1"/>
  <c r="Q300" i="1"/>
  <c r="Q299" i="1"/>
  <c r="Q298" i="1"/>
  <c r="Q297" i="1"/>
  <c r="Q296" i="1"/>
  <c r="Q295" i="1"/>
  <c r="Q294" i="1"/>
  <c r="Q293" i="1"/>
  <c r="Q292" i="1"/>
  <c r="Q291" i="1"/>
  <c r="Q290" i="1"/>
  <c r="Q289" i="1"/>
  <c r="Q288" i="1"/>
  <c r="Q287" i="1"/>
  <c r="Q286" i="1"/>
  <c r="Q285" i="1"/>
  <c r="Q283" i="1"/>
  <c r="Q282" i="1"/>
  <c r="Q281" i="1"/>
  <c r="Q280" i="1"/>
  <c r="Q279" i="1"/>
  <c r="Q278" i="1"/>
  <c r="Q277" i="1"/>
  <c r="Q276" i="1"/>
  <c r="Q274" i="1"/>
  <c r="Q273" i="1"/>
  <c r="Q271" i="1"/>
  <c r="Q270" i="1"/>
  <c r="Q269" i="1"/>
  <c r="Q268" i="1"/>
  <c r="Q267" i="1"/>
  <c r="Q266" i="1"/>
  <c r="Q265" i="1"/>
  <c r="Q264" i="1"/>
  <c r="Q263" i="1"/>
  <c r="Q262" i="1"/>
  <c r="Q260" i="1"/>
  <c r="Q259" i="1"/>
  <c r="Q258" i="1"/>
  <c r="Q257" i="1"/>
  <c r="Q255" i="1"/>
  <c r="Q254" i="1"/>
  <c r="Q253" i="1"/>
  <c r="Q252" i="1"/>
  <c r="Q251" i="1"/>
  <c r="Q250" i="1"/>
  <c r="Q249" i="1"/>
  <c r="Q248" i="1"/>
  <c r="Q247" i="1"/>
  <c r="Q246" i="1"/>
  <c r="Q245" i="1"/>
  <c r="Q244" i="1"/>
  <c r="Q243" i="1"/>
  <c r="Q242" i="1"/>
  <c r="Q241" i="1"/>
  <c r="Q240" i="1"/>
  <c r="Q239" i="1"/>
  <c r="Q238" i="1"/>
  <c r="Q237" i="1"/>
  <c r="Q235" i="1"/>
  <c r="Q234" i="1"/>
  <c r="Q232" i="1"/>
  <c r="Q230" i="1"/>
  <c r="Q229" i="1"/>
  <c r="Q227" i="1"/>
  <c r="Q225" i="1"/>
  <c r="Q223" i="1"/>
  <c r="Q222" i="1"/>
  <c r="Q220" i="1"/>
  <c r="Q219" i="1"/>
  <c r="Q218" i="1"/>
  <c r="Q216" i="1"/>
  <c r="Q212" i="1"/>
  <c r="Q205" i="1"/>
  <c r="Q198" i="1"/>
  <c r="Q195" i="1"/>
  <c r="Q192" i="1"/>
  <c r="Q191" i="1"/>
  <c r="Q190" i="1"/>
  <c r="Q189" i="1"/>
  <c r="Q188" i="1"/>
  <c r="Q187" i="1"/>
  <c r="Q185" i="1"/>
  <c r="Q184" i="1"/>
  <c r="Q183" i="1"/>
  <c r="Q182" i="1"/>
  <c r="Q181" i="1"/>
  <c r="Q180" i="1"/>
  <c r="Q179" i="1"/>
  <c r="Q178" i="1"/>
  <c r="Q176" i="1"/>
  <c r="Q175" i="1"/>
  <c r="Q174" i="1"/>
  <c r="Q173" i="1"/>
  <c r="Q172" i="1"/>
  <c r="Q171" i="1"/>
  <c r="Q170" i="1"/>
  <c r="Q169" i="1"/>
  <c r="Q168" i="1"/>
  <c r="Q167" i="1"/>
  <c r="Q166" i="1"/>
  <c r="Q165" i="1"/>
  <c r="Q164" i="1"/>
  <c r="Q163" i="1"/>
  <c r="Q162" i="1"/>
  <c r="Q161" i="1"/>
  <c r="Q160" i="1"/>
  <c r="Q159" i="1"/>
  <c r="Q158" i="1"/>
  <c r="Q157" i="1"/>
  <c r="Q156" i="1"/>
  <c r="Q155" i="1"/>
  <c r="Q154" i="1"/>
  <c r="Q148" i="1"/>
  <c r="Q147" i="1"/>
  <c r="Q146" i="1"/>
  <c r="Q145" i="1"/>
  <c r="Q144" i="1"/>
  <c r="Q140" i="1"/>
  <c r="Q138" i="1"/>
  <c r="Q137" i="1"/>
  <c r="Q135" i="1"/>
  <c r="Q133" i="1"/>
  <c r="Q132" i="1"/>
  <c r="Q131" i="1"/>
  <c r="Q130" i="1"/>
  <c r="Q129" i="1"/>
  <c r="Q128" i="1"/>
  <c r="Q127"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0" i="1"/>
  <c r="Q89" i="1"/>
  <c r="Q88" i="1"/>
  <c r="Q87" i="1"/>
  <c r="Q86" i="1"/>
  <c r="Q85" i="1"/>
  <c r="Q84" i="1"/>
  <c r="Q83" i="1"/>
  <c r="Q82" i="1"/>
  <c r="Q81" i="1"/>
  <c r="Q80" i="1"/>
  <c r="Q79" i="1"/>
  <c r="Q78" i="1"/>
  <c r="Q77" i="1"/>
  <c r="Q76" i="1"/>
  <c r="Q75" i="1"/>
  <c r="Q74" i="1"/>
  <c r="Q73" i="1"/>
  <c r="Q72" i="1"/>
  <c r="Q71" i="1"/>
  <c r="Q69" i="1"/>
  <c r="Q68" i="1"/>
  <c r="Q67" i="1"/>
  <c r="Q64" i="1"/>
  <c r="Q63" i="1"/>
  <c r="Q61" i="1"/>
  <c r="Q60" i="1"/>
  <c r="Q59" i="1"/>
  <c r="Q58" i="1"/>
  <c r="Q57" i="1"/>
  <c r="Q56" i="1"/>
  <c r="Q55" i="1"/>
  <c r="Q54" i="1"/>
  <c r="Q52" i="1"/>
  <c r="Q51" i="1"/>
  <c r="Q49" i="1"/>
  <c r="Q48" i="1"/>
  <c r="Q46" i="1"/>
  <c r="Q45" i="1"/>
  <c r="Q44" i="1"/>
  <c r="Q43" i="1"/>
  <c r="Q42" i="1"/>
  <c r="Q41" i="1"/>
  <c r="Q40" i="1"/>
  <c r="Q39" i="1"/>
  <c r="Q38" i="1"/>
  <c r="Q37" i="1"/>
  <c r="Q36" i="1"/>
  <c r="Q35" i="1"/>
  <c r="Q34" i="1"/>
  <c r="Q33" i="1"/>
  <c r="Q32" i="1"/>
  <c r="Q31" i="1"/>
  <c r="Q30" i="1"/>
  <c r="Q29" i="1"/>
  <c r="Q28" i="1"/>
  <c r="Q27" i="1"/>
  <c r="Q26" i="1"/>
  <c r="Q25" i="1"/>
  <c r="Q24" i="1"/>
  <c r="Q23" i="1"/>
  <c r="Q22" i="1"/>
  <c r="Q20" i="1"/>
  <c r="Q19" i="1"/>
  <c r="Q18" i="1"/>
  <c r="Q17" i="1"/>
  <c r="Q16" i="1"/>
  <c r="Q14" i="1"/>
  <c r="Q13" i="1"/>
  <c r="Q12" i="1"/>
  <c r="Q11" i="1"/>
  <c r="Q10" i="1"/>
  <c r="Q9" i="1"/>
  <c r="Q8" i="1"/>
  <c r="Q7" i="1"/>
  <c r="Q4" i="1"/>
  <c r="P370" i="1"/>
  <c r="P369" i="1"/>
  <c r="P368" i="1"/>
  <c r="P367" i="1"/>
  <c r="P366" i="1"/>
  <c r="P365" i="1"/>
  <c r="P364" i="1"/>
  <c r="P363" i="1"/>
  <c r="P362" i="1"/>
  <c r="P361" i="1"/>
  <c r="P359" i="1"/>
  <c r="P358" i="1"/>
  <c r="P356" i="1"/>
  <c r="P354" i="1"/>
  <c r="P353" i="1"/>
  <c r="P349" i="1"/>
  <c r="P345" i="1"/>
  <c r="P344" i="1"/>
  <c r="P343" i="1"/>
  <c r="P340" i="1"/>
  <c r="P337" i="1"/>
  <c r="P336" i="1"/>
  <c r="P334" i="1"/>
  <c r="P332" i="1"/>
  <c r="P331" i="1"/>
  <c r="P330" i="1"/>
  <c r="P329" i="1"/>
  <c r="P328" i="1"/>
  <c r="P326" i="1"/>
  <c r="P325" i="1"/>
  <c r="P324" i="1"/>
  <c r="P323" i="1"/>
  <c r="P322" i="1"/>
  <c r="P321" i="1"/>
  <c r="P320" i="1"/>
  <c r="P318" i="1"/>
  <c r="P317" i="1"/>
  <c r="P316" i="1"/>
  <c r="P313" i="1"/>
  <c r="P310" i="1"/>
  <c r="P309" i="1"/>
  <c r="P308" i="1"/>
  <c r="P307" i="1"/>
  <c r="P305" i="1"/>
  <c r="P304" i="1"/>
  <c r="P303" i="1"/>
  <c r="P301" i="1"/>
  <c r="P300" i="1"/>
  <c r="P299" i="1"/>
  <c r="P298" i="1"/>
  <c r="P297" i="1"/>
  <c r="P296" i="1"/>
  <c r="P295" i="1"/>
  <c r="P294" i="1"/>
  <c r="P293" i="1"/>
  <c r="P292" i="1"/>
  <c r="P291" i="1"/>
  <c r="P290" i="1"/>
  <c r="P289" i="1"/>
  <c r="P288" i="1"/>
  <c r="P287" i="1"/>
  <c r="P286" i="1"/>
  <c r="P285" i="1"/>
  <c r="P283" i="1"/>
  <c r="P282" i="1"/>
  <c r="P281" i="1"/>
  <c r="P280" i="1"/>
  <c r="P279" i="1"/>
  <c r="P278" i="1"/>
  <c r="P277" i="1"/>
  <c r="P276" i="1"/>
  <c r="P274" i="1"/>
  <c r="P273" i="1"/>
  <c r="P271" i="1"/>
  <c r="P270" i="1"/>
  <c r="P265" i="1"/>
  <c r="P262" i="1"/>
  <c r="P260" i="1"/>
  <c r="P259" i="1"/>
  <c r="P258" i="1"/>
  <c r="P257" i="1"/>
  <c r="P255" i="1"/>
  <c r="P254" i="1"/>
  <c r="P253" i="1"/>
  <c r="P252" i="1"/>
  <c r="P251" i="1"/>
  <c r="P250" i="1"/>
  <c r="P249" i="1"/>
  <c r="P248" i="1"/>
  <c r="P247" i="1"/>
  <c r="P246" i="1"/>
  <c r="P245" i="1"/>
  <c r="P244" i="1"/>
  <c r="P243" i="1"/>
  <c r="P242" i="1"/>
  <c r="P241" i="1"/>
  <c r="P240" i="1"/>
  <c r="P239" i="1"/>
  <c r="P238" i="1"/>
  <c r="P237" i="1"/>
  <c r="P235" i="1"/>
  <c r="P234" i="1"/>
  <c r="P232" i="1"/>
  <c r="P230" i="1"/>
  <c r="P229" i="1"/>
  <c r="P225" i="1"/>
  <c r="P222" i="1"/>
  <c r="P220" i="1"/>
  <c r="P219" i="1"/>
  <c r="P218" i="1"/>
  <c r="P216" i="1"/>
  <c r="P212" i="1"/>
  <c r="P205" i="1"/>
  <c r="P198" i="1"/>
  <c r="P195" i="1"/>
  <c r="P192" i="1"/>
  <c r="P191" i="1"/>
  <c r="P190" i="1"/>
  <c r="P189" i="1"/>
  <c r="P188" i="1"/>
  <c r="P187" i="1"/>
  <c r="P183" i="1"/>
  <c r="P182" i="1"/>
  <c r="P181" i="1"/>
  <c r="P180" i="1"/>
  <c r="P179" i="1"/>
  <c r="P178" i="1"/>
  <c r="P176" i="1"/>
  <c r="P175" i="1"/>
  <c r="P173" i="1"/>
  <c r="P172" i="1"/>
  <c r="P171" i="1"/>
  <c r="P170" i="1"/>
  <c r="P169" i="1"/>
  <c r="P168" i="1"/>
  <c r="P167" i="1"/>
  <c r="P166" i="1"/>
  <c r="P165" i="1"/>
  <c r="P164" i="1"/>
  <c r="P163" i="1"/>
  <c r="P162" i="1"/>
  <c r="P161" i="1"/>
  <c r="P160" i="1"/>
  <c r="P159" i="1"/>
  <c r="P158" i="1"/>
  <c r="P157" i="1"/>
  <c r="P156" i="1"/>
  <c r="P155" i="1"/>
  <c r="P147" i="1"/>
  <c r="P144" i="1"/>
  <c r="P138" i="1"/>
  <c r="P137" i="1"/>
  <c r="P135" i="1"/>
  <c r="P133" i="1"/>
  <c r="P132" i="1"/>
  <c r="P131" i="1"/>
  <c r="P130" i="1"/>
  <c r="P129" i="1"/>
  <c r="P128" i="1"/>
  <c r="P127" i="1"/>
  <c r="P124" i="1"/>
  <c r="P123" i="1"/>
  <c r="P122" i="1"/>
  <c r="P121" i="1"/>
  <c r="P120" i="1"/>
  <c r="P119" i="1"/>
  <c r="P118" i="1"/>
  <c r="P117" i="1"/>
  <c r="P116" i="1"/>
  <c r="P115" i="1"/>
  <c r="P114" i="1"/>
  <c r="P113" i="1"/>
  <c r="P112" i="1"/>
  <c r="P111" i="1"/>
  <c r="P110" i="1"/>
  <c r="P109" i="1"/>
  <c r="P108" i="1"/>
  <c r="P107" i="1"/>
  <c r="P106" i="1"/>
  <c r="P105" i="1"/>
  <c r="P104" i="1"/>
  <c r="P103" i="1"/>
  <c r="P102" i="1"/>
  <c r="P101" i="1"/>
  <c r="P100" i="1"/>
  <c r="P99" i="1"/>
  <c r="P98" i="1"/>
  <c r="P97" i="1"/>
  <c r="P96" i="1"/>
  <c r="P94" i="1"/>
  <c r="P90" i="1"/>
  <c r="P89" i="1"/>
  <c r="P88" i="1"/>
  <c r="P87" i="1"/>
  <c r="P86" i="1"/>
  <c r="P85" i="1"/>
  <c r="P84" i="1"/>
  <c r="P82" i="1"/>
  <c r="P80" i="1"/>
  <c r="P79" i="1"/>
  <c r="P78" i="1"/>
  <c r="P77" i="1"/>
  <c r="P76" i="1"/>
  <c r="P75" i="1"/>
  <c r="P74" i="1"/>
  <c r="P72" i="1"/>
  <c r="P71" i="1"/>
  <c r="P69" i="1"/>
  <c r="P68" i="1"/>
  <c r="P67" i="1"/>
  <c r="P64" i="1"/>
  <c r="P63" i="1"/>
  <c r="P61" i="1"/>
  <c r="P60" i="1"/>
  <c r="P59" i="1"/>
  <c r="P58" i="1"/>
  <c r="P56" i="1"/>
  <c r="P55" i="1"/>
  <c r="P54" i="1"/>
  <c r="P52" i="1"/>
  <c r="P51" i="1"/>
  <c r="P49" i="1"/>
  <c r="P48" i="1"/>
  <c r="P46" i="1"/>
  <c r="P45" i="1"/>
  <c r="P43" i="1"/>
  <c r="P42" i="1"/>
  <c r="P41" i="1"/>
  <c r="P40" i="1"/>
  <c r="P38" i="1"/>
  <c r="P37" i="1"/>
  <c r="P36" i="1"/>
  <c r="P34" i="1"/>
  <c r="P33" i="1"/>
  <c r="P32" i="1"/>
  <c r="P31" i="1"/>
  <c r="P30" i="1"/>
  <c r="P29" i="1"/>
  <c r="P28" i="1"/>
  <c r="P27" i="1"/>
  <c r="P26" i="1"/>
  <c r="P25" i="1"/>
  <c r="P24" i="1"/>
  <c r="P23" i="1"/>
  <c r="P22" i="1"/>
  <c r="P20" i="1"/>
  <c r="P19" i="1"/>
  <c r="P18" i="1"/>
  <c r="P17" i="1"/>
  <c r="P16" i="1"/>
  <c r="P14" i="1"/>
  <c r="P13" i="1"/>
  <c r="P12" i="1"/>
  <c r="P11" i="1"/>
  <c r="P10" i="1"/>
  <c r="P9" i="1"/>
  <c r="P8" i="1"/>
  <c r="P7" i="1"/>
  <c r="P4" i="1"/>
  <c r="P3" i="1"/>
</calcChain>
</file>

<file path=xl/sharedStrings.xml><?xml version="1.0" encoding="utf-8"?>
<sst xmlns="http://schemas.openxmlformats.org/spreadsheetml/2006/main" count="5394" uniqueCount="3049">
  <si>
    <t xml:space="preserve">EJE </t>
  </si>
  <si>
    <t xml:space="preserve">Frecuencia de Medición </t>
  </si>
  <si>
    <t>METAS</t>
  </si>
  <si>
    <t>INDICADOR</t>
  </si>
  <si>
    <t>Objetivo de medición</t>
  </si>
  <si>
    <t>Fórmula de cálculo</t>
  </si>
  <si>
    <t>Responsable</t>
  </si>
  <si>
    <t>META TRIMESTRAL</t>
  </si>
  <si>
    <t>META ANUAL</t>
  </si>
  <si>
    <t>META TOTAL</t>
  </si>
  <si>
    <t>ACUMULADO 1er año de Gobierno Oct. 2013 - Oct. 2014</t>
  </si>
  <si>
    <t>ACUMULADO 2do año de Gobierno 
Oct. 2014 - Oct. 2015</t>
  </si>
  <si>
    <t>ACUMULADO ANUAL
Oct. 2015 - Oct. 2016</t>
  </si>
  <si>
    <t>ACUMULADO TOTAL 
Oct. 2013 - Oct. 2016</t>
  </si>
  <si>
    <t>ACUMULADO  ANUAL
3er año de Gobierno</t>
  </si>
  <si>
    <t xml:space="preserve">ACUMULADO TOTAL </t>
  </si>
  <si>
    <t xml:space="preserve">CALIDAD DE VIDA </t>
  </si>
  <si>
    <t>Trimestral</t>
  </si>
  <si>
    <t>14 asambleas</t>
  </si>
  <si>
    <t>54 asambleas</t>
  </si>
  <si>
    <t>160 asambleas</t>
  </si>
  <si>
    <t>Número de asambleas vecinales y/o comunitarias realizadas</t>
  </si>
  <si>
    <t>Conocer el número de asambleas vecinales o comunitarias realizadas para fortalecer la planeación participativa y la organización comunitaria.</t>
  </si>
  <si>
    <t>(AVCR / AVP ) *100</t>
  </si>
  <si>
    <t>Dirección de Atención Ciudadana y Desarrollo Social</t>
  </si>
  <si>
    <t>117 asambleas</t>
  </si>
  <si>
    <t>5 asambleas vecinales realizadas</t>
  </si>
  <si>
    <t>53 asambleas vecinales realizadas</t>
  </si>
  <si>
    <t>175 asambleas</t>
  </si>
  <si>
    <t>Anual</t>
  </si>
  <si>
    <t>N/A</t>
  </si>
  <si>
    <t>174 comités</t>
  </si>
  <si>
    <t>522 comités</t>
  </si>
  <si>
    <t>Número de comités de vecinos conformados</t>
  </si>
  <si>
    <t>Conocer el número de reuniones y/o visitas domiciliarias realizadas con líderes naturales políticos y religiosos.</t>
  </si>
  <si>
    <t>(CVC / CVR) *100</t>
  </si>
  <si>
    <t>350 comités de vecinos conformados</t>
  </si>
  <si>
    <t>35 comités de vecinos conformados</t>
  </si>
  <si>
    <t>119 comités de vecinos conformados</t>
  </si>
  <si>
    <t>504 comités de vecinos conformados</t>
  </si>
  <si>
    <t>Desarrollo Integral de la Familia</t>
  </si>
  <si>
    <t>80% de solicitudes atendidas</t>
  </si>
  <si>
    <t>Porcentaje de demandas atendidas por el DIF municipal</t>
  </si>
  <si>
    <t xml:space="preserve">Conocer el porcentaje de atención oportuna de las demandas ciudadanos </t>
  </si>
  <si>
    <t>(SOLA/SOLR) * 100</t>
  </si>
  <si>
    <t xml:space="preserve">Desarrollo Integral de la Familia </t>
  </si>
  <si>
    <t>94% de solicitudes atendidas</t>
  </si>
  <si>
    <t>100% de solicitudes atendidas</t>
  </si>
  <si>
    <t>85% solicitudes atendidas o con folio cerrado</t>
  </si>
  <si>
    <t>Porcentaje de quejas y/o solicitudes atendidas en relación con las solicitudes con folio generadas en el CRC</t>
  </si>
  <si>
    <t>Conocer el porcentaje de quejas y/o solicitudes atendidas en relación con las solicitudes con folio generadas a través del Centro de Respuesta Ciudadana (CRC).</t>
  </si>
  <si>
    <t>(QSR / QSA) *100</t>
  </si>
  <si>
    <t>Dirección de Mantenimiento Urbano</t>
  </si>
  <si>
    <t>84% de solicitudes atendidas o con folio cerrado</t>
  </si>
  <si>
    <t>91.35% de solicitudes atendidas (31,867recibidas y 27,263 atendidas)</t>
  </si>
  <si>
    <t>90.22% 
(6644 recibidas y 5994 atendidas)</t>
  </si>
  <si>
    <t>600 terapias</t>
  </si>
  <si>
    <t>2400 terapias</t>
  </si>
  <si>
    <t>7200 terapias</t>
  </si>
  <si>
    <t>Número de terapias brindadas en las unidades básicas de rehabilitación (UBR)</t>
  </si>
  <si>
    <t>Conocer el número de terapias brindadas en las unidades básicas de rehabilitación</t>
  </si>
  <si>
    <t>(TER / TEP)*100</t>
  </si>
  <si>
    <t>5163 terapias brindadas en las unidades básicas de rehabilitación UBR</t>
  </si>
  <si>
    <t>50 personas</t>
  </si>
  <si>
    <t>200 personas</t>
  </si>
  <si>
    <t xml:space="preserve">600 personas </t>
  </si>
  <si>
    <t>Número de personas asesoradas en materia de mediación y conciliación</t>
  </si>
  <si>
    <t>Conocer el número de personas asesoradas en materia de medición y conciliación comunitaria.</t>
  </si>
  <si>
    <t>(PA / PPA) * 100</t>
  </si>
  <si>
    <t>813 personas asesoradas en mediación y conciliación</t>
  </si>
  <si>
    <t>386 personas asesoradas en mediación y conciliación</t>
  </si>
  <si>
    <t>30 reuniones</t>
  </si>
  <si>
    <t>90 reuniones</t>
  </si>
  <si>
    <t>Número de reuniones realizadas con asociaciones civiles para gestionar recursos y la realización de proyectos sociales</t>
  </si>
  <si>
    <t>Conocer el número de reuniones realizadas con organizaciones civiles para gestionar recursos y realizar proyectos sociales.</t>
  </si>
  <si>
    <t>(RR / RP) * 100</t>
  </si>
  <si>
    <t>65 reuniones realizadas con asociaciones civiles para gestionar recursos y realizar proyectos sociales</t>
  </si>
  <si>
    <t>5 reuniones con asociaciones civiles realizadas</t>
  </si>
  <si>
    <t xml:space="preserve">13 Reuniones </t>
  </si>
  <si>
    <t>83 reuniones realizadas con asociaciones civiles para gestionar recursos y realizar proyectos sociales</t>
  </si>
  <si>
    <t>5 Asociaciones</t>
  </si>
  <si>
    <t>Número de Asociaciones Civiles apoyadas por el DIF Municipal</t>
  </si>
  <si>
    <t>5 A.C. apoyadas</t>
  </si>
  <si>
    <t>8 ferias ciudadanas</t>
  </si>
  <si>
    <t>24 ferias ciudadanas</t>
  </si>
  <si>
    <t>Número de ferias ciudadanas realizadas</t>
  </si>
  <si>
    <t>Conocer el número de Ferias Ciudadanas itinerantes realizadas para atender oportunamente las demandas que presenta la ciudadanía.</t>
  </si>
  <si>
    <t>(FCR / FCP) *100</t>
  </si>
  <si>
    <t>11 ferias ciudadanas realizadas</t>
  </si>
  <si>
    <t>3 ferias ciudadanas</t>
  </si>
  <si>
    <t xml:space="preserve">0 Ferias Ciudadanas </t>
  </si>
  <si>
    <t>14 ferias ciudadanas</t>
  </si>
  <si>
    <t>10 eventos masivos</t>
  </si>
  <si>
    <t>28 eventos masivos</t>
  </si>
  <si>
    <t>Número de eventos masivos realizados por el DIF Municipal para beneficio de la población en general (festivales, bazares navideños, día del niño, etc.)</t>
  </si>
  <si>
    <t>Conocer el número de eventos masivos realizados por el DIF Municipal para el beneficio de la población en general.</t>
  </si>
  <si>
    <t>(EMR / EMP) *100</t>
  </si>
  <si>
    <t>5 eventos</t>
  </si>
  <si>
    <t>9 eventos masivos para beneficio de la población en general</t>
  </si>
  <si>
    <t>8,250 apoyos alimenticios</t>
  </si>
  <si>
    <t>24,750 apoyos alimenticios</t>
  </si>
  <si>
    <t>74,250 apoyos alimenticios</t>
  </si>
  <si>
    <t>Número de apoyos alimenticios entregados para el adulto mayor</t>
  </si>
  <si>
    <t>Conocer el número de apoyos alimenticios entregados a los adultos mayores.</t>
  </si>
  <si>
    <t>(AAP / AAE) * 100</t>
  </si>
  <si>
    <t>20,000 apoyos alimentarios para adulto mayor entregados</t>
  </si>
  <si>
    <t>10,000 apoyos alimentarios entregados para el adulto mayor</t>
  </si>
  <si>
    <t>200 beneficiarios</t>
  </si>
  <si>
    <t>600 beneficiarios</t>
  </si>
  <si>
    <t>Número de beneficiarios del programa de empleo temporal</t>
  </si>
  <si>
    <t>Conocer el número de beneficiarios del Programa de Empleo Temporal.</t>
  </si>
  <si>
    <t>(PB / PPB) *100</t>
  </si>
  <si>
    <t>109 beneficiarios del programa de empleo temporal</t>
  </si>
  <si>
    <t>80 beneficiarios del programa de empleo temporal</t>
  </si>
  <si>
    <t>289 beneficiarios del programa de empleo temporal</t>
  </si>
  <si>
    <t>Dirección de Desarrollo Rural</t>
  </si>
  <si>
    <t>375 beneficiarios</t>
  </si>
  <si>
    <t>1160 beneficiarios</t>
  </si>
  <si>
    <t>3500 beneficiarios</t>
  </si>
  <si>
    <t>Número de beneficiarios del programa de empleo temporal en la zona rural</t>
  </si>
  <si>
    <t>Conocer el número de beneficiarios del Programa de Empleo Temporal en la zona rural.</t>
  </si>
  <si>
    <t>625 beneficiarios</t>
  </si>
  <si>
    <t>2518 beneficiarios del programa de empleo temporal en la zona rural</t>
  </si>
  <si>
    <t xml:space="preserve">338 beneficiarios </t>
  </si>
  <si>
    <t>1,438 apoyos</t>
  </si>
  <si>
    <t xml:space="preserve">4,314 apoyos </t>
  </si>
  <si>
    <t>Número de apoyos otorgados a grupos vulnerables</t>
  </si>
  <si>
    <t>Conocer el número de apoyos otorgados a los grupos vulnerables.</t>
  </si>
  <si>
    <t>(AO / APO) *100</t>
  </si>
  <si>
    <t>1,438 apoyos otorgados a grupos vulnerables</t>
  </si>
  <si>
    <t>1598 apoyos otorgados a grupos vulnerables</t>
  </si>
  <si>
    <t>50 apoyos</t>
  </si>
  <si>
    <t>600 apoyos</t>
  </si>
  <si>
    <t xml:space="preserve"> 1200 apoyos</t>
  </si>
  <si>
    <t>Número de apoyos diversos otorgados a personas de escasos recursos económicos</t>
  </si>
  <si>
    <t>Conocer el número de apoyos diversos otorgados a personas de escasos recursos.</t>
  </si>
  <si>
    <t>232 apoyos</t>
  </si>
  <si>
    <t>380 apoyos diversos otorgados a personas de escasos recursos económicos</t>
  </si>
  <si>
    <t>10000 apoyos</t>
  </si>
  <si>
    <t>20000 apoyos</t>
  </si>
  <si>
    <t>Número de apoyos entregados en festividades navideñas a personas de escasos recursos económicos</t>
  </si>
  <si>
    <t>Conocer el número de apoyos otorgados en festividades navideñas a personas de escasos recursos.</t>
  </si>
  <si>
    <t xml:space="preserve"> 3000 apoyos</t>
  </si>
  <si>
    <t>0 apoyos entregados en festividades navideñas</t>
  </si>
  <si>
    <t xml:space="preserve"> 23,000 apoyos</t>
  </si>
  <si>
    <t>1,600 terapias</t>
  </si>
  <si>
    <t>6,500 terapias</t>
  </si>
  <si>
    <t>Número de terapias brindadas en el centro de equinoterapia</t>
  </si>
  <si>
    <t>Conocer el número de terapias brindadas en el Centro de Equinoterapia.</t>
  </si>
  <si>
    <t>(TB/TP)*100</t>
  </si>
  <si>
    <t>0 terapias</t>
  </si>
  <si>
    <t>0 Terapias</t>
  </si>
  <si>
    <t>3,500 apoyos alimentarios</t>
  </si>
  <si>
    <t>14,000 apoyos alimentarios</t>
  </si>
  <si>
    <t>42,800 apoyos alimentarios</t>
  </si>
  <si>
    <t>Número de apoyos alimentarios otorgados a personas en situación de pobreza multidimensional a través del módulo de atención ciudadana</t>
  </si>
  <si>
    <t>Conocer el número de apoyos alimentarios otorgados a personas en situación de pobreza multidimensional.</t>
  </si>
  <si>
    <t>(AAO / AAP) *100</t>
  </si>
  <si>
    <t>9,500 apoyos otorgados a personas en situación de pobreza a través de módulo de atención ciudadana</t>
  </si>
  <si>
    <t>6,870 apoyos alimentarios otorgados a personas en situación de pobreza a través de módulo de atención ciudadana</t>
  </si>
  <si>
    <t>16,821 apoyos alimentarios otorgados a personas en situación de pobreza a través de módulo de atención ciudadana</t>
  </si>
  <si>
    <t>33,191 apoyos alimentarios otorgados a personas en situación de pobreza a través de módulo de atención ciudadana</t>
  </si>
  <si>
    <t>5 actividades</t>
  </si>
  <si>
    <t>Conformación del Comité de Etnia y actualización del padrón de asentamiento indígenas</t>
  </si>
  <si>
    <t>Conocer el avance en las actividades programadas para la conformación del Comité de Etnias y la Actualización del padrón de indígenas.</t>
  </si>
  <si>
    <t>(CICE + RPMT + IFCE + EHAP + AFAS) / TACE *100</t>
  </si>
  <si>
    <t>4 actividades (1.Creación de listado de integrantes del comité de etnia, 2. Reunión previa de mesa de trabajo de futuros integrantes del comité de etnia, 3. Elaboración de herramientas para actualización del padrón y 4. Actualización final de asentamientos).</t>
  </si>
  <si>
    <t>0 actividades</t>
  </si>
  <si>
    <t>1 actividad (Instalación formal del Comité de Etnia)</t>
  </si>
  <si>
    <t>META CUMPLIDA</t>
  </si>
  <si>
    <t>3 eventos</t>
  </si>
  <si>
    <t>12 eventos</t>
  </si>
  <si>
    <t>36 eventos</t>
  </si>
  <si>
    <t>Número de eventos realizados para la promoción de valores, cultura y tradiciones indígenas</t>
  </si>
  <si>
    <t>Conocer el número de eventos realizados para la promoción de los valores, cultura y tradiciones indígenas.</t>
  </si>
  <si>
    <t>(EP / ER) * 100</t>
  </si>
  <si>
    <t>9 eventos realizados para la promoción de valores, cultura y tradiciones indígenas</t>
  </si>
  <si>
    <t>12 eventos para la promoción de valores, cultura y tradiciones indígenas</t>
  </si>
  <si>
    <t>4 eventos</t>
  </si>
  <si>
    <t>3 eventos para la promoción de valores, cultura y tradiciones indígenas</t>
  </si>
  <si>
    <t>24 eventos realizados para la promoción de valores, cultura y tradiciones indígenas</t>
  </si>
  <si>
    <t>13 personas</t>
  </si>
  <si>
    <t>150 personas</t>
  </si>
  <si>
    <t>Cantidad de población indígena capacitada para el autoempleo</t>
  </si>
  <si>
    <t>Conocer la cantidad de población indígena capacitada para el autoempleo y desarrollo de capacidades productivas.</t>
  </si>
  <si>
    <t>(PC / PPC) * 100</t>
  </si>
  <si>
    <t>56 personas indígenas capacitados para el autoempleo</t>
  </si>
  <si>
    <t>31 personas indígenas capacitadas para el autoempleo</t>
  </si>
  <si>
    <t>35 personas indígenas capacitadas para el autoempleo</t>
  </si>
  <si>
    <t>122 personas indígenas capacitados para el autoempleo</t>
  </si>
  <si>
    <t>1,000 apoyos</t>
  </si>
  <si>
    <t>3,000 apoyos</t>
  </si>
  <si>
    <t>Número de apoyos para la población indígena</t>
  </si>
  <si>
    <t>Conocer el número de apoyos entregados para la población indígena, que podrán ser alimentarios, de salud, de educación o de mejora de vivienda.</t>
  </si>
  <si>
    <t>(AE / AP) * 100</t>
  </si>
  <si>
    <t>1172 apoyos para la población indígena</t>
  </si>
  <si>
    <t>806 apoyos para la población indígena</t>
  </si>
  <si>
    <t>1324 apoyos para la población indígena</t>
  </si>
  <si>
    <t>3560 apoyos para la población indígena</t>
  </si>
  <si>
    <t>3,167 despensas</t>
  </si>
  <si>
    <t>9,500 despensas</t>
  </si>
  <si>
    <t>Número de despensas entregadas a familias vulnerables del sector rural</t>
  </si>
  <si>
    <t>Conocer la cantidad de becas alimenticias destinadas a grupos vulnerables del sector rural.</t>
  </si>
  <si>
    <t>(DFVE / DFVP) *100</t>
  </si>
  <si>
    <t>1247 despensas entregadas a familias vulnerables del sector rural</t>
  </si>
  <si>
    <t>8156 despensas entregadas a familias vulnerables del sector rural</t>
  </si>
  <si>
    <t>4,755 despensas entregadas a familias vulnerables del sector rural</t>
  </si>
  <si>
    <t>2512 becas alimenticias</t>
  </si>
  <si>
    <t>7536 becas alimenticias</t>
  </si>
  <si>
    <t>Número de becas alimenticias entregadas a adultos mayores del sector rural</t>
  </si>
  <si>
    <t>Conocer la cantidad de becas alimenticias destinadas a adultos mayores del sector rural.</t>
  </si>
  <si>
    <t>(BAME /BAMP) *100</t>
  </si>
  <si>
    <t>1884 becas alimenticias</t>
  </si>
  <si>
    <t>0 becas alimenticias a adultos mayores del sector rural</t>
  </si>
  <si>
    <t>2,247 becas alimenticias</t>
  </si>
  <si>
    <t>4,759 becas alimenticias a adultos mayores del sector rural</t>
  </si>
  <si>
    <t>57 tarjetas bancarias</t>
  </si>
  <si>
    <t>171 tarjetas bancarias</t>
  </si>
  <si>
    <t>Número de tarjetas bancarias entregadas a personas con discapacidad del sector rural</t>
  </si>
  <si>
    <t>Conocer la cantidad de tarjetas bancarias destinadas a personas con discapacidad del sector rural.</t>
  </si>
  <si>
    <t>(TPDE /TPDP) *100</t>
  </si>
  <si>
    <t>109 tarjetas bancarias entregadas a personas con discapacidad del sector rural</t>
  </si>
  <si>
    <t>101 tarjetas</t>
  </si>
  <si>
    <t>267 tarjetas bancarias</t>
  </si>
  <si>
    <t>Secretaría del Ayuntamiento</t>
  </si>
  <si>
    <t>1025 asesorías jurídicas</t>
  </si>
  <si>
    <t>4100 asesorías jurídicas</t>
  </si>
  <si>
    <t>12300 asesorías jurídicas</t>
  </si>
  <si>
    <t>Número de asesorías jurídicas gratuitas brindadas a personas de bajos recursos</t>
  </si>
  <si>
    <t xml:space="preserve">Conocer el número de asesorías jurídicas brindadas de manera gratuita por el Municipio para la defensa de las personas de bajos recursos. </t>
  </si>
  <si>
    <t>(NAGB / NAGP) *100</t>
  </si>
  <si>
    <t>1,819 asesorías jurídicas gratuitas brindadas</t>
  </si>
  <si>
    <t>3,479 asesorías jurídicas gratuitas brindadas</t>
  </si>
  <si>
    <t>150 paquetes de construcción</t>
  </si>
  <si>
    <t>450 paquetes de construcción</t>
  </si>
  <si>
    <t>Número de paquetes de construcción donados a familias en pobreza extrema</t>
  </si>
  <si>
    <t>Conocer la cantidad de paquetes de donados a familias en pobreza extrema.</t>
  </si>
  <si>
    <t>(PD / PPD) *100</t>
  </si>
  <si>
    <t>0 paquetes de construcción donados a familias en pobreza extrema</t>
  </si>
  <si>
    <t>200 paquetes de construcción</t>
  </si>
  <si>
    <t>200 paquetes de construcción donados a familias en pobreza extrema</t>
  </si>
  <si>
    <t>250 techos dignos  y pisos firmes</t>
  </si>
  <si>
    <t>1000 techos dignos  y pisos firmes</t>
  </si>
  <si>
    <t>3000 techos dignos  y pisos firmes</t>
  </si>
  <si>
    <t>Número de techos dignos y pisos firmes instalados en colonias de atención prioritaria</t>
  </si>
  <si>
    <t>Conocer la cantidad de techos dignos y pisos firmes instalados en colonias de atención prioritaria.</t>
  </si>
  <si>
    <t>(TDPP / TDPI) *100</t>
  </si>
  <si>
    <t>Dirección de Obras Públicas Municipales</t>
  </si>
  <si>
    <t>370 techos dignos y piso firme</t>
  </si>
  <si>
    <t>200 techos dignos y pisos firmes instalados</t>
  </si>
  <si>
    <t>161 techos y pisos</t>
  </si>
  <si>
    <t>731 techos dignos y pisos firmes instalados</t>
  </si>
  <si>
    <t>55 baños y muros</t>
  </si>
  <si>
    <t>220 baños y muros</t>
  </si>
  <si>
    <t>660 baños y muros</t>
  </si>
  <si>
    <t>Número de baños y muros construidos en colonias de atención prioritaria</t>
  </si>
  <si>
    <t>Conocer la cantidad de baños y muros construidos en colonias de atención prioritaria.</t>
  </si>
  <si>
    <t>(BMP / BMC) *100</t>
  </si>
  <si>
    <t>238 baños y muros</t>
  </si>
  <si>
    <t>187 baños y muros construidos</t>
  </si>
  <si>
    <t>263 baños y muros</t>
  </si>
  <si>
    <t>744 baños y muros construidos</t>
  </si>
  <si>
    <t>10 paquetes de construcción</t>
  </si>
  <si>
    <t>30 paquetes de construcción</t>
  </si>
  <si>
    <t>Paquetes de construcción facilitados a crédito a familias de escasos recursos</t>
  </si>
  <si>
    <t>Conocer la cantidad de paquetes de construcción facilitados a crédito a familias de escasos recursos.</t>
  </si>
  <si>
    <t>(PCCF / PCCPF) *100</t>
  </si>
  <si>
    <t>0 paquetes de construcción facilitados a crédito a familias de escasos recursos</t>
  </si>
  <si>
    <t>640 paquetes de construcción facilitados a crédito a familias de escasos recursos</t>
  </si>
  <si>
    <t>4848 sacos de cemento y/o paquetes de vivienda</t>
  </si>
  <si>
    <t>14,545 sacos de cemento y/o paquetes de vivienda</t>
  </si>
  <si>
    <t>Número de sacos de cemento subsidiado entregados en la zona rural</t>
  </si>
  <si>
    <t>Conocer la cantidad de sacos de cemento subsidiado entregados a la población de la zona rural, para la dignificación de la vivienda.</t>
  </si>
  <si>
    <t>(SCE / SCP) *100</t>
  </si>
  <si>
    <t>13507 sacos de cemento entregados en la zona rural y 0 paquetes de vivienda</t>
  </si>
  <si>
    <t>858 sacos de cemento entregados en zona rural</t>
  </si>
  <si>
    <t>1531 sacos de cemento</t>
  </si>
  <si>
    <t>16,076 sacos de cemento entregados en zona rural</t>
  </si>
  <si>
    <t>30 cuartos adosados con baño equipado construidos</t>
  </si>
  <si>
    <t>90cuartos adosados con baño equipado construidos</t>
  </si>
  <si>
    <t>Número de cuartos adosados y baños construidos</t>
  </si>
  <si>
    <t>30 cuartos adosados</t>
  </si>
  <si>
    <t>264 cuartos y baños</t>
  </si>
  <si>
    <t>200 paquetes de vivienda</t>
  </si>
  <si>
    <t>450 paquetes de vivienda</t>
  </si>
  <si>
    <t>Número de paquetes de vivienda subsidiados entregados en la zona rural</t>
  </si>
  <si>
    <t>Conocer la cantidad de paquetes de vivienda subsidiado entregados a la población de la zona rural, para la dignificación de la vivienda.</t>
  </si>
  <si>
    <t>(PVE / PVP) *100</t>
  </si>
  <si>
    <t>229 paquetes de vivienda</t>
  </si>
  <si>
    <t>0 paquetes de vivienda entregados en zona rural</t>
  </si>
  <si>
    <t>7 apoyos</t>
  </si>
  <si>
    <t>30 apoyos</t>
  </si>
  <si>
    <t>90 apoyos</t>
  </si>
  <si>
    <t>Número de apoyos de infraestructura y equipamiento entregados a los clubes del abuelo</t>
  </si>
  <si>
    <t>Conocer el número de apoyos de infraestructura y equipamiento entregados a los Clubes del Abuelo.</t>
  </si>
  <si>
    <t>(AE / APE) *100</t>
  </si>
  <si>
    <t>0 apoyo a la infraestructura y equipamiento entregados a los club del abuelo</t>
  </si>
  <si>
    <t>3 apoyo a la infraestructura y equipamiento entregados a los club del abuelo</t>
  </si>
  <si>
    <t>20 aperturas y 20 ampliaciones</t>
  </si>
  <si>
    <t>90 aperturas y 45 ampliaciones</t>
  </si>
  <si>
    <t>Número de aperturas y ampliaciones realizadas de casas de cuidado diario</t>
  </si>
  <si>
    <t>Conocer el número de aperturas y ampliaciones realizadas de casas de cuidado diario</t>
  </si>
  <si>
    <t>AACR  / (APCP + AMCP) * 100</t>
  </si>
  <si>
    <t>30 aperturas y 18 ampliaciones (45 en total)</t>
  </si>
  <si>
    <t>40 aperturas y 18 ampliaciones (58 en total)</t>
  </si>
  <si>
    <t>100 paquetes alimenticios</t>
  </si>
  <si>
    <t>400 paquetes alimenticios</t>
  </si>
  <si>
    <t>900 paquetes alimenticios</t>
  </si>
  <si>
    <t>Número de paquetes alimenticios otorgados a los albergues para atención de la niñez</t>
  </si>
  <si>
    <t>Conocer las actividades que se realizan para impulsar el establecimiento de albergues para la atención a la niñez</t>
  </si>
  <si>
    <t>(ANTA+PERA+GEPR+REGE ) / TAIE * 100</t>
  </si>
  <si>
    <t>0 actividades para establecer nuevos albergues para atención de la niñez</t>
  </si>
  <si>
    <t>1 actividades para establecer nuevos albergues para atención de la niñez</t>
  </si>
  <si>
    <t>Fomentar el mejoramiento de Albergues para la atención al adulto mayor.</t>
  </si>
  <si>
    <t>N/A Es de frecuencia trianual</t>
  </si>
  <si>
    <t>Instituto de Cultura Municipal</t>
  </si>
  <si>
    <t xml:space="preserve">4 capacitaciones </t>
  </si>
  <si>
    <t xml:space="preserve">18 capacitaciones </t>
  </si>
  <si>
    <t xml:space="preserve">54 capacitaciones </t>
  </si>
  <si>
    <t>Número de capacitaciones en oficios y artes realizadas para personas en polígonos de pobreza</t>
  </si>
  <si>
    <t>Conocer el número de capacitaciones en oficios y artes realizadas para personas en polígonos de pobreza</t>
  </si>
  <si>
    <t>(CAOR / CAOP)  * 100</t>
  </si>
  <si>
    <t xml:space="preserve">Instituto de Cultura Municipal </t>
  </si>
  <si>
    <t>40 capacitaciones en artes y oficios realizadas</t>
  </si>
  <si>
    <t>28 capacitaciones</t>
  </si>
  <si>
    <t>162 capacitaciones</t>
  </si>
  <si>
    <t>272 capacitaciones en artes y oficios realizadas</t>
  </si>
  <si>
    <t>20 talleres</t>
  </si>
  <si>
    <t>40 talleres</t>
  </si>
  <si>
    <t>Número de capacitaciones y/o talleres impartidos del programa hábitat</t>
  </si>
  <si>
    <t>Conocer el número de capacitaciones y/o talleres impartidos dentro del programa Hábitat.</t>
  </si>
  <si>
    <t>(CTP / CTR) *100</t>
  </si>
  <si>
    <t>0 talleres</t>
  </si>
  <si>
    <t>19 capacitaciones y/o talleres impartidos del programa hábitat</t>
  </si>
  <si>
    <t>95 capacitaciones y/o talleres impartidos del programa hábitat</t>
  </si>
  <si>
    <t>4 espacios públicos</t>
  </si>
  <si>
    <t>12 espacios públicos</t>
  </si>
  <si>
    <t>Número de espacios públicos rehabilitados para cohesión social</t>
  </si>
  <si>
    <t>Conocer el número de espacios públicos rehabilitados para la cohesión social.</t>
  </si>
  <si>
    <t>(EPR / EPPR) *100</t>
  </si>
  <si>
    <t>0 espacios públicos rehabilitados para cohesión social</t>
  </si>
  <si>
    <t>3 espacios públicos rehabilitados para cohesión social</t>
  </si>
  <si>
    <t>4 espacios públicos rehabilitados para cohesión social</t>
  </si>
  <si>
    <t>7 espacios públicos rehabilitados para cohesión social</t>
  </si>
  <si>
    <t xml:space="preserve">2 actividades </t>
  </si>
  <si>
    <t>6 actividades</t>
  </si>
  <si>
    <t>Actividades realizadas para reforzar programas de prevención y atención del abuso sexual infantil</t>
  </si>
  <si>
    <t>Conocer las actividades realizadas para reforzar los programas de prevención y atención del abuso sexual infantil</t>
  </si>
  <si>
    <t>(CCSV + EMAV + PPEI + DDNI + PAMM + PFFA)  / TARP  * 100</t>
  </si>
  <si>
    <t>4 actividades</t>
  </si>
  <si>
    <t>4 actividades para reforzar los programas de prevención y atención de abuso sexual infantil</t>
  </si>
  <si>
    <t>2 actividades (programa de prevención y explotación infantil)</t>
  </si>
  <si>
    <t xml:space="preserve">5 beneficiarios </t>
  </si>
  <si>
    <t xml:space="preserve">15 beneficiarios </t>
  </si>
  <si>
    <t>Número de beneficiarios del programa de prevención, atención, desaliento y erradicación del trabajo infantil</t>
  </si>
  <si>
    <t>Conocer el número de beneficiarios del programa de prevención, atención, desaliento y erradicación del trabajo infantil.</t>
  </si>
  <si>
    <t>(BNTI / BPTI) * 100</t>
  </si>
  <si>
    <t>0 beneficiarios del programa de PADyE del trabajo infantil</t>
  </si>
  <si>
    <t>28 beneficiarios del programa PADyE</t>
  </si>
  <si>
    <t>400 beneficiarios</t>
  </si>
  <si>
    <t>428 beneficiarios del programa PADyE</t>
  </si>
  <si>
    <t>2,000 paquetes de útiles</t>
  </si>
  <si>
    <t>5,000 paquetes de útiles</t>
  </si>
  <si>
    <t>Número de paquetes de útiles escolares donados</t>
  </si>
  <si>
    <t>2,323 paquetes de útiles escolares donados</t>
  </si>
  <si>
    <t>5,123 paquetes de útiles escolares</t>
  </si>
  <si>
    <t>25 conferencias y/o talleres</t>
  </si>
  <si>
    <t>100 conferencias y/o talleres</t>
  </si>
  <si>
    <t>300 conferencias y/o talleres</t>
  </si>
  <si>
    <t>Número de talleres y/o conferencias del programa prevención y atención integral de embarazo en adolescentes</t>
  </si>
  <si>
    <t>Conocer el número de talleres y/o conferencias realizadas del Programa Prevención y Atención Integral de Embarazo en Adolescentes.</t>
  </si>
  <si>
    <t>(TCR / TCP) * 100</t>
  </si>
  <si>
    <t>35.86% incremento de beneficiarios del programa de prevención y atención integral de embarazo en adolescentes</t>
  </si>
  <si>
    <t>12 talleres</t>
  </si>
  <si>
    <t>183 talleres y/o conferencias del programa prevención y atención integral de embarazo en adolescentes</t>
  </si>
  <si>
    <t>6 Actividades</t>
  </si>
  <si>
    <t xml:space="preserve">6 actividades </t>
  </si>
  <si>
    <t xml:space="preserve">Creación del programa de enseñanza lúdica móvil dirigido a niños y jóvenes </t>
  </si>
  <si>
    <t xml:space="preserve">Conocer el avance en la creación e implementación del programa Creación del programa de enseñanza lúdica móvil dirigido a niñez y juventud de colonias vulnerables y zonas rurales  </t>
  </si>
  <si>
    <t>(APEL + PREL + SEEL + SOEL + ADEL+ MAEL) / ATEL *100</t>
  </si>
  <si>
    <t xml:space="preserve">4 actividades para la creación e implantación del programa de enseñanza lúdica móvil ( anteproyecto, proyecto del programa, presentación ante SEDESOL, solicitud de aceptación del proyecto) </t>
  </si>
  <si>
    <t>2 actividades para la creación e implementación del programa de enseñanza lúdica móvil (adquisición de los bienes y puesta en marcha del programa)</t>
  </si>
  <si>
    <t>Meta cumplida</t>
  </si>
  <si>
    <t>6 actividades para la creación e implementación del programa de enseñanza lúdica móvil (anteproyecto, proyecto, presentación ante SEDESOL, solicitud y aceptación del proyecto, adquisición de los bienes y puesta en marcha del programa) TERMINADO</t>
  </si>
  <si>
    <t>1,200 niños atendidos</t>
  </si>
  <si>
    <t>2,000 niños atendidos</t>
  </si>
  <si>
    <t>Número de niños atendidos dentro de la Ludoteca Móvil</t>
  </si>
  <si>
    <t>Conocer la cantidad de niños atendidos por medio del programa de ludoteca móvil.</t>
  </si>
  <si>
    <t>(BA/BP)*100</t>
  </si>
  <si>
    <t>733 niños atendidos dentro de la ludoteca móvil</t>
  </si>
  <si>
    <t>Centro de Atención y Prevención Psicológicas</t>
  </si>
  <si>
    <t>56 talleres</t>
  </si>
  <si>
    <t>224 talleres</t>
  </si>
  <si>
    <t>704 talleres</t>
  </si>
  <si>
    <t>Número de talleres de prevención psicológica individual y familiar impartidos</t>
  </si>
  <si>
    <t>Conocer el número de talleres de prevención psicológica individual y familiar impartidos.</t>
  </si>
  <si>
    <t>(TPSI / TPSP) *100</t>
  </si>
  <si>
    <t>318 talleres de prevención psicológica individual y familiar impartidos</t>
  </si>
  <si>
    <t>188 talleres de prevención psicológica individual y familiar impartidos</t>
  </si>
  <si>
    <t>3 actividades</t>
  </si>
  <si>
    <t>Creación del reglamento para eficiente la aplicación programas de valores en centros comunitarios</t>
  </si>
  <si>
    <t>Conocer el avance en la creación del reglamento que se implementara para que sea más eficiente la aplicación de programas de valores que se prestan en los centros comunitarios.</t>
  </si>
  <si>
    <t>( ERCC + PCRC + IRCC)  / TACR * 100</t>
  </si>
  <si>
    <t>La meta ya fue cumplida</t>
  </si>
  <si>
    <t>3 actividades realizadas para establecer el reglamento de valores en centros comunitarios (Reglamento ya establecido)</t>
  </si>
  <si>
    <t>300 talleres</t>
  </si>
  <si>
    <t>800 talleres</t>
  </si>
  <si>
    <t>Talleres realizados para promover los valores en centros comunitarios</t>
  </si>
  <si>
    <t>355 talleres</t>
  </si>
  <si>
    <t>1 evento</t>
  </si>
  <si>
    <t>Número de eventos realizados del encuentro intergeneracional "Adultos mayores y sus nietos"</t>
  </si>
  <si>
    <t>Conocer el número de eventos realizados del Encuentro Intergeneracional "Adultos Mayores y sus nietos".</t>
  </si>
  <si>
    <t>(ERE / EPR) *100</t>
  </si>
  <si>
    <t>2 actividades para la realización de EIAMyN</t>
  </si>
  <si>
    <t>1 actividad</t>
  </si>
  <si>
    <t>0 eventos</t>
  </si>
  <si>
    <t>1 Evento</t>
  </si>
  <si>
    <t>2 Eventos</t>
  </si>
  <si>
    <t xml:space="preserve">4 actividades </t>
  </si>
  <si>
    <t>Implementación del "Sistema de Información de Infraestructura Escolar" (SIIE)</t>
  </si>
  <si>
    <t>Conocer el avance en el proceso de implementación del "Sistema de Información de Infraestructura Escolar" (SIIE), el cual se llevará a cabo a través de 5 actividades.</t>
  </si>
  <si>
    <t>(A1 + A2 + A3 + A4 + A5) / TAIS *100</t>
  </si>
  <si>
    <t>4 actividades para la implementación del sistema de información de infraestructura escolar (SIEE)</t>
  </si>
  <si>
    <t>1 actividad (etapa de implementación)</t>
  </si>
  <si>
    <t>5 actividades para la implementación del sistema de información de infraestructura escolar (SIEE)</t>
  </si>
  <si>
    <t>25 planteles educativos beneficiados</t>
  </si>
  <si>
    <t>100 planteles educativos beneficiados</t>
  </si>
  <si>
    <t>300 planteles educativos beneficiados</t>
  </si>
  <si>
    <t>Número de planteles educativos beneficiados con infraestructura y/o equipamiento</t>
  </si>
  <si>
    <t>Conocer la cantidad de planteles educativos beneficiados con infraestructura y/o equipamiento.</t>
  </si>
  <si>
    <t>(PEB / PEPB) *100</t>
  </si>
  <si>
    <t>35 planteles educativos beneficiados con infraestructura y/o equipamiento</t>
  </si>
  <si>
    <t>0 planteles educativos</t>
  </si>
  <si>
    <t>0 planteles educativos beneficiados con infraestructura y/o equipamiento</t>
  </si>
  <si>
    <t>121 planteles educativos beneficiados con infraestructura y/o equipamiento</t>
  </si>
  <si>
    <t>156 planteles educativos beneficiados con infraestructura y/o equipamiento</t>
  </si>
  <si>
    <t>100 plateles educativos beneficiados</t>
  </si>
  <si>
    <t>200 plateles educativos beneficiados</t>
  </si>
  <si>
    <t>Número de planteles educativos beneficiados con el programa escuelas de calidad</t>
  </si>
  <si>
    <t>Conocer la cantidad de planteles educativos beneficiados con el programa Escuelas de Calidad.</t>
  </si>
  <si>
    <t>152 planteles educativos</t>
  </si>
  <si>
    <t>172 planteles educativos</t>
  </si>
  <si>
    <t>324 planteles educativos</t>
  </si>
  <si>
    <t>15 planteles educativos</t>
  </si>
  <si>
    <t>60 planteles educativos</t>
  </si>
  <si>
    <t>180 planteles educativos</t>
  </si>
  <si>
    <t>Número de planteles educativos beneficiados con infraestructura</t>
  </si>
  <si>
    <t>65 planteles educativos beneficiados con infraestructura</t>
  </si>
  <si>
    <t>8 planteles educativos</t>
  </si>
  <si>
    <t>73 planteles educativos beneficiados con infraestructura</t>
  </si>
  <si>
    <t>11 planteles educativos</t>
  </si>
  <si>
    <t>25 planteles educativos</t>
  </si>
  <si>
    <t>Número de planteles educativos  rehabilitados o equipados</t>
  </si>
  <si>
    <t>Conocer  el número de planteles educativos rehabilitados y/o equipados en la zona rural de Municipio.</t>
  </si>
  <si>
    <t>(NPER + NPEE) / NPEP *100</t>
  </si>
  <si>
    <t>8 planteles educativos rehabilitados y 0 equipados</t>
  </si>
  <si>
    <t>10 planteles educativos rehabilitados o equipados</t>
  </si>
  <si>
    <t>27 planteles educativos rehabilitados o equipados</t>
  </si>
  <si>
    <t>3 planteles educativos</t>
  </si>
  <si>
    <t>12 planteles educativos</t>
  </si>
  <si>
    <t>36 planteles educativos</t>
  </si>
  <si>
    <t>Número de planteles educativos rehabilitados o equipados en zona rural</t>
  </si>
  <si>
    <t>1 planteles educativos</t>
  </si>
  <si>
    <t>20 planteles educativos</t>
  </si>
  <si>
    <t>2 reuniones</t>
  </si>
  <si>
    <t>8 reuniones</t>
  </si>
  <si>
    <t>24 reuniones</t>
  </si>
  <si>
    <t>Número de reuniones de coordinación realizadas entre gobierno, "OSC´S" e instituciones educativas</t>
  </si>
  <si>
    <t>Conocer el número de reuniones realizadas entre Gobierno, Organizaciones de la Sociedad Civil (OSC´S) e Instituciones Educativas a fin de fortalecer el vínculo entre las mismas.</t>
  </si>
  <si>
    <t>(RR / RP) *100</t>
  </si>
  <si>
    <t>2 reuniones de coordinación entre gobierno, "OSC´s" e instituciones educativas</t>
  </si>
  <si>
    <t>8 reuniones de coordinación entre gobierno, OSC´s e instituciones educativas</t>
  </si>
  <si>
    <t>3 escuelas</t>
  </si>
  <si>
    <t>12 escuelas</t>
  </si>
  <si>
    <t>36 escuelas</t>
  </si>
  <si>
    <t>Número de escuelas integradas a modalidad de tiempo completo en el municipio</t>
  </si>
  <si>
    <t>Conocer el número de escuelas integradas a la modalidad de tiempo completo.</t>
  </si>
  <si>
    <t>(EITC / EPITC) *100</t>
  </si>
  <si>
    <t xml:space="preserve">0 escuelas integradas a modalidad de tiempo completo </t>
  </si>
  <si>
    <t xml:space="preserve">2,810 becas educativas </t>
  </si>
  <si>
    <t>9,765 becas educativas</t>
  </si>
  <si>
    <t>Número de becas educativas asignadas a estudiantes de mayor rezago social o en situación de riesgo</t>
  </si>
  <si>
    <t>Conocer el número de becas educativas asignadas a estudiantes de mayor rezago social o en situación de riesgo.</t>
  </si>
  <si>
    <t>(BEA / BEP) *100</t>
  </si>
  <si>
    <t>2,915 becas educativas asignadas a estudiantes de rezago social o en situación de riesgo</t>
  </si>
  <si>
    <t>2923 becas educativas</t>
  </si>
  <si>
    <t>795 becas educativas</t>
  </si>
  <si>
    <t>2385 becas educativas</t>
  </si>
  <si>
    <t>Número de becas educativas otorgadas a estudiantes del sector rural</t>
  </si>
  <si>
    <t>Conocer el número de becas educativas otorgadas a estudiantes del sector rural, de los niveles básicos hasta nivel superior.</t>
  </si>
  <si>
    <t xml:space="preserve"> (BEA / BEP)  *100</t>
  </si>
  <si>
    <t>1,188 becas</t>
  </si>
  <si>
    <t>1197 becas educativas otorgadas a estudiantes del sector rural</t>
  </si>
  <si>
    <t>1412 becas</t>
  </si>
  <si>
    <t xml:space="preserve">20 cocinas </t>
  </si>
  <si>
    <t xml:space="preserve">60 cocinas </t>
  </si>
  <si>
    <t xml:space="preserve">Nuevas cocinas escolares instaladas </t>
  </si>
  <si>
    <t xml:space="preserve">Conocer el número de nuevas cocinas escolares instaladas </t>
  </si>
  <si>
    <t>(COPR / COIN) * 100</t>
  </si>
  <si>
    <t xml:space="preserve">25 nuevas cocinas escolares instaladas </t>
  </si>
  <si>
    <t>20 nuevas cocinas escolares instaladas</t>
  </si>
  <si>
    <t xml:space="preserve">16 Huertos </t>
  </si>
  <si>
    <t xml:space="preserve">48 Huertos </t>
  </si>
  <si>
    <t>Nuevos huertos  en planteles educativos para abastecimiento de cocinas escolares.</t>
  </si>
  <si>
    <t>Conocer el número  de Nuevos huertos implementados   en planteles educativos para abastecimiento de cocinas escolares.</t>
  </si>
  <si>
    <t>(HEIM / HEPR) * 100</t>
  </si>
  <si>
    <t xml:space="preserve">9 nuevos huertos implementados en planteles educativos para abastecimiento de cocinas escolares </t>
  </si>
  <si>
    <t xml:space="preserve">6 nuevos huertos implementados en planteles educativos para abastecimiento de cocinas escolares </t>
  </si>
  <si>
    <t>2 camiones</t>
  </si>
  <si>
    <t>Número de camiones entregados para el traslado de estudiantes de nivel superior en la zona rural</t>
  </si>
  <si>
    <t>Conocer número de camiones entregados para transporte de estudiantes de nivel superior de la zona rural.</t>
  </si>
  <si>
    <t>(CE / CAE) *100</t>
  </si>
  <si>
    <t>2 camiones entregados para traslado de estudiantes de nivel superior en la zona rural</t>
  </si>
  <si>
    <t>2 camiones entregados en zona rural.</t>
  </si>
  <si>
    <t>1 elección de gabinete infantil</t>
  </si>
  <si>
    <t>3 elecciones de gabinete infantil</t>
  </si>
  <si>
    <t>Elecciones de gabinete y consejo permanente infantiles realizadas</t>
  </si>
  <si>
    <t>Conocer el número de elecciones del gabinete infantil realizados.</t>
  </si>
  <si>
    <t>(EGIR / EGIPR) *100</t>
  </si>
  <si>
    <t>1 elección de gabinete infantil realizada</t>
  </si>
  <si>
    <t>1 elecciones de gabinete infantil realizadas</t>
  </si>
  <si>
    <t>3 elecciones de gabinete infantil realizadas</t>
  </si>
  <si>
    <t>4 talleres</t>
  </si>
  <si>
    <t>18 talleres</t>
  </si>
  <si>
    <t>54 talleres</t>
  </si>
  <si>
    <t>Número de talleres impartidos sobre valores cívicos en centros escolares</t>
  </si>
  <si>
    <t>Conocer el número de talleres impartidos sobre valores cívicos en centros escolares.</t>
  </si>
  <si>
    <t xml:space="preserve">(TI / TPI) * 100 </t>
  </si>
  <si>
    <t>4 talleres de valores cívicos impartidos</t>
  </si>
  <si>
    <t>31 talleres cívicos realizados</t>
  </si>
  <si>
    <t>25 talleres cívicos realizados</t>
  </si>
  <si>
    <t>60 talleres de valores cívicos impartidos</t>
  </si>
  <si>
    <t>20 eventos</t>
  </si>
  <si>
    <t xml:space="preserve">60 eventos </t>
  </si>
  <si>
    <t>Número de eventos de honores a la bandera realizados en espacios públicos</t>
  </si>
  <si>
    <t xml:space="preserve">Conocer el número de eventos de honores a la bandera realizados en espacios públicos. </t>
  </si>
  <si>
    <t>(HBR / HBPR) *100</t>
  </si>
  <si>
    <t>16 honores a la bandera en espacios públicos realizados</t>
  </si>
  <si>
    <t>13 honores a la bandera en espacios públicos realizados</t>
  </si>
  <si>
    <t>12 enlaces</t>
  </si>
  <si>
    <t>48 enlaces</t>
  </si>
  <si>
    <t>158 enlaces</t>
  </si>
  <si>
    <t>Número de enlaces realizados con sector público y privado</t>
  </si>
  <si>
    <t>Conocer el número de enlaces realizados con el sector público y privado.</t>
  </si>
  <si>
    <t>(ESPR / ESPP) *100</t>
  </si>
  <si>
    <t>95 enlaces revisados con sector público y privado.</t>
  </si>
  <si>
    <t>51 enlaces realizados con sector público y privado</t>
  </si>
  <si>
    <t>16.5 m2</t>
  </si>
  <si>
    <t>66 m2</t>
  </si>
  <si>
    <t>102 m2</t>
  </si>
  <si>
    <t>Ampliación de infraestructura del CAPPSI</t>
  </si>
  <si>
    <t>Conocer el avance en la ampliación de la infraestructura del CAPPSI.</t>
  </si>
  <si>
    <t>(MACC / MACP) *100</t>
  </si>
  <si>
    <t>152 m2 ampliados en la infraestructura del CAPPSI.</t>
  </si>
  <si>
    <t>5,600 usuarios atendidos</t>
  </si>
  <si>
    <t>22,400 usuarios atendidos</t>
  </si>
  <si>
    <t>73,474 usuarios atendidos</t>
  </si>
  <si>
    <t>Número de usuarios atendidos en procesos terapéuticos psicológicos y psiquiátricos en área clínica</t>
  </si>
  <si>
    <t>Conocer el número de usuarios atendidos en procesos terapéuticos, psicológicos y psiquiátricos en área clínica.</t>
  </si>
  <si>
    <t>(UA / UPA) *100</t>
  </si>
  <si>
    <t>27878 usuarios atendidos en procesos terapéuticos, psicológicos y psiquiátricas en área clínica</t>
  </si>
  <si>
    <t>21826  usuarios atendidos en procesos terapéuticos, psicológicos y psiquiátricos en área clínica</t>
  </si>
  <si>
    <t>1 talleres</t>
  </si>
  <si>
    <t>Número de talleres de prevención de enfermedades físicas y emocionales impartidas por especialistas en gerontología para los clubes del abuelo</t>
  </si>
  <si>
    <t>Conocer  el número de pláticas impartidas para la prevención de enfermedades físicas y emocionales.</t>
  </si>
  <si>
    <t>(TARE / TPRO) *100</t>
  </si>
  <si>
    <t>2 talleres de prevención de enfermedades físicas y emocionales impartido</t>
  </si>
  <si>
    <t>3 talleres de prevención de enfermedades físicas y emocionales impartido</t>
  </si>
  <si>
    <t>Instituto Municipal de Pensiones</t>
  </si>
  <si>
    <t>Gestión de campañas para la prevención y control de enfermedades</t>
  </si>
  <si>
    <t xml:space="preserve">Conocer el avance en la gestión de las campañas realizadas para la prevención y control de enfermedades  </t>
  </si>
  <si>
    <t>( SOCS + ACOS + OFGC + REGC ) / TAGC * 100</t>
  </si>
  <si>
    <t xml:space="preserve">2 actividades realizadas para la gestión de campañas para prevención y control de enfermedades </t>
  </si>
  <si>
    <t xml:space="preserve">3 actividades realizadas para la gestión de campañas para prevención y control de enfermedades </t>
  </si>
  <si>
    <t>500 Pruebas Preventivas</t>
  </si>
  <si>
    <t>1500 Pruebas Preventivas</t>
  </si>
  <si>
    <t>Número de Pruebas Preventivas  realizadas</t>
  </si>
  <si>
    <t>1 campaña</t>
  </si>
  <si>
    <t>3 campañas</t>
  </si>
  <si>
    <t>Número de campañas realizadas de prevención de cáncer de mama hazlo por ti</t>
  </si>
  <si>
    <t>Conocer el número de campañas realizadas de prevención de cáncer de mama "Hazlo por Ti".</t>
  </si>
  <si>
    <t>(CPR  / CPP) * 100</t>
  </si>
  <si>
    <t>1 campaña de prevención</t>
  </si>
  <si>
    <t xml:space="preserve">2 campañas realizadas (1. Realizar pláticas educativas para la prevención, detección y atención oportuna del cáncer.        2. Realización de exámenes de diagnóstico del cáncer  de mama.) </t>
  </si>
  <si>
    <t>8000 servicios</t>
  </si>
  <si>
    <t>21000 servicios</t>
  </si>
  <si>
    <t>Número de servicios de vacunación, baño garrapaticida y desparasitación de mascotas realizados</t>
  </si>
  <si>
    <t>Conocer el número de servicios de vacunación, baño garrapaticida y desparasitación de mascotas realizados.</t>
  </si>
  <si>
    <t>(SR  / SP) * 100</t>
  </si>
  <si>
    <t>8843 servicios</t>
  </si>
  <si>
    <t>7,458 servicios de vacunación, baño garrapaticida y desparasitación de mascotas realizados</t>
  </si>
  <si>
    <t>8,096 servicios de vacunación, baño garrapaticida y desparasitación de mascotas realizados</t>
  </si>
  <si>
    <t>24,397 servicios de vacunación, baño garrapaticida y desparasitación de mascotas realizados</t>
  </si>
  <si>
    <t>Instituto Municipal de la Cultura Física, Deporte y Juventud</t>
  </si>
  <si>
    <t>500 beneficiarios</t>
  </si>
  <si>
    <t>2000 beneficiarios</t>
  </si>
  <si>
    <t>6000 beneficiarios</t>
  </si>
  <si>
    <t>Número de beneficiarios en programa para la sensibilización y concientización sobre problemas de sobrepeso y obesidad</t>
  </si>
  <si>
    <t>Conocer el número de beneficiarios de programa de sensibilización y concientización sobre el problema del sobrepeso y la obesidad</t>
  </si>
  <si>
    <t>(BCIE / BPCI) * 100</t>
  </si>
  <si>
    <t>2,550 beneficiarios en programas de sensibilización y concientización sobre problemas de sobrepeso y obesidad</t>
  </si>
  <si>
    <t>3,169 beneficiarios de programas de sensibilización y concientización de problemas de sobrepeso y obesidad</t>
  </si>
  <si>
    <t>300 servicios</t>
  </si>
  <si>
    <t>1200 servicios</t>
  </si>
  <si>
    <t>3600 servicios</t>
  </si>
  <si>
    <t>Servicios de diagnóstico y seguimiento nutricional a la ciudadanía vulnerable</t>
  </si>
  <si>
    <t>Conocer el número de servicios de diagnóstico y seguimiento nutricional a brindar.</t>
  </si>
  <si>
    <t>( NSER / NSEP ) * 100</t>
  </si>
  <si>
    <t>1,318 servicios de diagnóstico y seguimiento nutricional a ciudadanía vulnerable.</t>
  </si>
  <si>
    <t>3,424 servicios de diagnóstico y seguimiento nutricional a la ciudadanía vulnerable</t>
  </si>
  <si>
    <t>388 exámenes</t>
  </si>
  <si>
    <t>1,550 exámenes</t>
  </si>
  <si>
    <t>4,650 exámenes</t>
  </si>
  <si>
    <t>Número de exámenes médicos realizados para disminución de los riesgos de enfermedades de transmisión sexual</t>
  </si>
  <si>
    <t>Conocer el número de exámenes médicos realizados para la disminución de los riesgos de enfermedades de transmisión sexual.</t>
  </si>
  <si>
    <t>4008 exámenes médicos realizados</t>
  </si>
  <si>
    <t>1,155 exámenes médicos realizados</t>
  </si>
  <si>
    <t>163 inspecciones</t>
  </si>
  <si>
    <t>650 inspecciones</t>
  </si>
  <si>
    <t>1,950 inspecciones</t>
  </si>
  <si>
    <t>Número de inspecciones de vigilancia a negocios de alimentos</t>
  </si>
  <si>
    <t>Conocer el número de inspecciones realizadas a los lugares donde se consume y expenden alimentos.</t>
  </si>
  <si>
    <t>(IR / IP)*100</t>
  </si>
  <si>
    <t>1069 inspecciones de vigilancia realizadas</t>
  </si>
  <si>
    <t>511 inspecciones de vigilancia realizadas</t>
  </si>
  <si>
    <t>Trámite de creación de unidades de salud en las cabeceras seccionales</t>
  </si>
  <si>
    <t>Verificar el avance en la tramitación para la creación de unidades de salud</t>
  </si>
  <si>
    <t>( EOCS + ACMS + EOTUS + RTUS ) / TACUS * 100</t>
  </si>
  <si>
    <t>2 actividades para tramitar la creación de unidades de salud en cabeceras municipales.</t>
  </si>
  <si>
    <t>3 actividades para tramitar la creación de unidades de salud en cabeceras municipales.</t>
  </si>
  <si>
    <t>300 apoyos</t>
  </si>
  <si>
    <t>1200 apoyos</t>
  </si>
  <si>
    <t>3600 apoyos</t>
  </si>
  <si>
    <t>Número de apoyos brindados a través del programa de atención médica gratuita</t>
  </si>
  <si>
    <t>Conocer el número de apoyos brindados a través del programa de atención médica gratuita.</t>
  </si>
  <si>
    <t>( AO / AP ) * 100</t>
  </si>
  <si>
    <t>926 apoyos</t>
  </si>
  <si>
    <t>322 apoyos entregados del programa de atención  médica gratuita</t>
  </si>
  <si>
    <t>383 apoyos entregados del programa de atención médica gratuita</t>
  </si>
  <si>
    <t>1,631 apoyos entregados del programa de atención  médica gratuita</t>
  </si>
  <si>
    <t>Gestión de la creación de unidades geriátricas en los principales hospitales</t>
  </si>
  <si>
    <t>Verificar el avance en la gestión de unidades geriátricas en los principales hospitales del Municipio de Chihuahua.</t>
  </si>
  <si>
    <t>( EOCS + ACG + OGU + RGU ) / TAGU * 100</t>
  </si>
  <si>
    <t>2 actividades para gestionar la creación de unidades geriátricas en los principales hospitales.</t>
  </si>
  <si>
    <t>3 actividades para gestionar la creación de unidades geriátricas en los principales hospitales.</t>
  </si>
  <si>
    <t>2 dispensarios médicos</t>
  </si>
  <si>
    <t>7 dispensarios médicos</t>
  </si>
  <si>
    <t>Número de dispensarios médicos abastecidos en la zona rural</t>
  </si>
  <si>
    <t>Conocer el número de dispensarios médicos abastecidos en la zona rural.</t>
  </si>
  <si>
    <t>(DMA / DMPA) *100</t>
  </si>
  <si>
    <t>0 dispensarios médicos abastecidos en la zona rural</t>
  </si>
  <si>
    <t>0 dispensarios médicos abastecidos</t>
  </si>
  <si>
    <t>3,000 personas</t>
  </si>
  <si>
    <t>1 dispensario médico</t>
  </si>
  <si>
    <t>6 dispensarios médicos abastecidos en la zona rural</t>
  </si>
  <si>
    <t>50 alumnos cursando</t>
  </si>
  <si>
    <t>Alumnos cursando el nivel licenciatura en el conservatorio de música</t>
  </si>
  <si>
    <t xml:space="preserve">Verificar el número de alumnos cursando el nivel licenciatura para su formación artística atreves del conservatorio de música </t>
  </si>
  <si>
    <t>(ACLI / APLI) * 100</t>
  </si>
  <si>
    <t>94 alumnos cursando el nivel licenciatura en el Conservatorio de Música</t>
  </si>
  <si>
    <t>91 alumnos</t>
  </si>
  <si>
    <t>50 alumnos cursando TALLERES</t>
  </si>
  <si>
    <t>Alumnos cursando talleres en el conservatorio de música</t>
  </si>
  <si>
    <t>Verificar el número de alumnos cursando talleres para su formación artística a través del Conservatorio de Música.</t>
  </si>
  <si>
    <t>(ACT / APCT) * 100</t>
  </si>
  <si>
    <t>67 alumnos</t>
  </si>
  <si>
    <t>174 alumnos</t>
  </si>
  <si>
    <t xml:space="preserve">5 Actividades Culturales </t>
  </si>
  <si>
    <t xml:space="preserve">15 Actividades culturales </t>
  </si>
  <si>
    <t xml:space="preserve">Número de actividades culturales, gastronómicas, y étnicas  realizadas para la difusión de la identidad chihuahuense </t>
  </si>
  <si>
    <t xml:space="preserve">Conocer el número de actividades culturales, gastronómicas, y étnicas  realizadas para promover la identidad chihuahuense </t>
  </si>
  <si>
    <t>(MUGA + MUDA + MUTE + DIMU + COCU + REJO + FCHI) / TADI * 100</t>
  </si>
  <si>
    <t xml:space="preserve">6 actividades culturales  realizadas ( 1 muestra gastronómica, 1 muestra de danza, 1 muestra de teatro, 1 construyendo cultura en colonias, 1 rejoneadas y 1 evento fundación de Chihuahua) </t>
  </si>
  <si>
    <t>79 actividades culturales</t>
  </si>
  <si>
    <t>65 apoyos</t>
  </si>
  <si>
    <t>130 apoyos</t>
  </si>
  <si>
    <t>Número de apoyos otorgados a descendientes de veteranos de la revolución</t>
  </si>
  <si>
    <t>Conocer el número de apoyos otorgados a descendientes de veteranos de la revolución.</t>
  </si>
  <si>
    <t>(AO / AP ) * 100</t>
  </si>
  <si>
    <t>64 apoyos</t>
  </si>
  <si>
    <t>195 apoyos otorgados a descendientes de veteranos de la revolución</t>
  </si>
  <si>
    <t xml:space="preserve">2 Eventos de Intercambios Culturales </t>
  </si>
  <si>
    <t>6 Eventos de intercambios Culturales</t>
  </si>
  <si>
    <t xml:space="preserve">Número de eventos de intercambios culturales y artísticos realizados con otras entidades federativas </t>
  </si>
  <si>
    <t xml:space="preserve">Conocer el numero de intercambios culturales y artísticos realizados con otras entidades federativas </t>
  </si>
  <si>
    <t>(GSFR + MICU + EBFK) / TICP * 100</t>
  </si>
  <si>
    <t>5 eventos de intercambios artísticos y culturales realizados (2 intercambios culturales y 1 Esquina Benjamín Franklin)</t>
  </si>
  <si>
    <t>750 beneficiarios</t>
  </si>
  <si>
    <t xml:space="preserve">3 000 beneficiarios </t>
  </si>
  <si>
    <t>9 000 beneficiarios</t>
  </si>
  <si>
    <t xml:space="preserve">Número de beneficiarios en programas para el impulso del arte y la cultura en grupos infantiles, juveniles, adultos mayores y personas con discapacidad </t>
  </si>
  <si>
    <t xml:space="preserve">Conocer el  número de beneficiarios en programas para el impulso del arte y la cultura </t>
  </si>
  <si>
    <t>( BCIN + BTIN + BRJU + BETE + BCAM ) / TBAR * 100</t>
  </si>
  <si>
    <t>4253 en programas para impulsar el arte y la cultura</t>
  </si>
  <si>
    <t>74869 beneficiarios</t>
  </si>
  <si>
    <t xml:space="preserve">1 Actualización </t>
  </si>
  <si>
    <t xml:space="preserve">3 Actualizaciones </t>
  </si>
  <si>
    <t>Actualizaciones realizadas al censo de artistas</t>
  </si>
  <si>
    <t xml:space="preserve">Conocer el número de actualizaciones realizadas al censo de artistas locales para fomentar su participación en festivales municipales </t>
  </si>
  <si>
    <t>(ACCR / ACCP) *100</t>
  </si>
  <si>
    <t>1 actualización realizada al censo de artistas locales</t>
  </si>
  <si>
    <t>2 actualización realizada al censo de artistas locales</t>
  </si>
  <si>
    <t>1 actualización del censo</t>
  </si>
  <si>
    <t>4 actualización realizada al censo de artistas locales</t>
  </si>
  <si>
    <t>20% de artistas del censo apoyados</t>
  </si>
  <si>
    <t>30% de artistas del censo apoyados</t>
  </si>
  <si>
    <t>Porcentaje de artistas del censo municipal apoyados</t>
  </si>
  <si>
    <t>Conocer el porcentaje de artistas locales apoyados para participar en los escenarios de festivales culturales del municipio.</t>
  </si>
  <si>
    <t>(ACMA / TACM) *100</t>
  </si>
  <si>
    <t>29.8% de artistas locales del censo apoyados (33 artistas locales del censo municipal apoyados de 67 que es el total del censo)</t>
  </si>
  <si>
    <t>66.67% de artistas locales del censo apoyados</t>
  </si>
  <si>
    <t xml:space="preserve">100% (324 artistas del censo y 324 artistas) </t>
  </si>
  <si>
    <t>5 talleres</t>
  </si>
  <si>
    <t>15 talleres</t>
  </si>
  <si>
    <t>Talleres de profesionalización realizados para apoyo de artistas locales</t>
  </si>
  <si>
    <t>Verificar que se implementen nuevos programas para el incremento a los apoyos para los artistas locales .</t>
  </si>
  <si>
    <t>(TPAC + TPRO) / TNPA * 100</t>
  </si>
  <si>
    <t>3 talleres de profesionalización de artistas locales</t>
  </si>
  <si>
    <t>9 talleres de profesionalización de artistas locales</t>
  </si>
  <si>
    <t>18 talleres de profesionalización de artistas locales</t>
  </si>
  <si>
    <t>4 publicaciones</t>
  </si>
  <si>
    <t>12 publicaciones</t>
  </si>
  <si>
    <t>Publicaciones de libros realizados a través de programa editorial</t>
  </si>
  <si>
    <t>Conocer las publicaciones realizadas a través del programa editorial para promover el talento literario.</t>
  </si>
  <si>
    <t>(PR  / PP) * 100</t>
  </si>
  <si>
    <t>2 publicaciones de libros realizadas a través de programa editorial</t>
  </si>
  <si>
    <t>8 publicaciones de libros realizadas</t>
  </si>
  <si>
    <t xml:space="preserve">50 Artistas apoyados </t>
  </si>
  <si>
    <t>150 Artistas apoyados</t>
  </si>
  <si>
    <t>Número de artistas locales apoyados para realización de producciones locales</t>
  </si>
  <si>
    <t xml:space="preserve">Conocer la cantidad de artistas locales apoyados para realización de producciones </t>
  </si>
  <si>
    <t>(ALAG  +  ALIP) / TALP * 100</t>
  </si>
  <si>
    <t>80 artistas locales apoyados en conjunto con instancias de gobierno</t>
  </si>
  <si>
    <t>32 artistas locales apoyados en conjunto con instancias de gobierno</t>
  </si>
  <si>
    <t>115 artistas locales apoyados en conjunto con instancias de gobierno</t>
  </si>
  <si>
    <t xml:space="preserve">50 Eventos </t>
  </si>
  <si>
    <t xml:space="preserve">150 Eventos </t>
  </si>
  <si>
    <t xml:space="preserve">Eventos realizados en espacios de expresión artística y cultural para jóvenes en riesgo </t>
  </si>
  <si>
    <t xml:space="preserve">Conocer le número de eventos realizados en espacios para expresión artística y cultural para jóvenes en riesgo </t>
  </si>
  <si>
    <t>(ECHI +EFRE + ECOL + EZRU) / TEEP * 100</t>
  </si>
  <si>
    <t>81 eventos en Espacios de expresión artística realizados</t>
  </si>
  <si>
    <t>12 eventos en Espacios de expresión artística realizados</t>
  </si>
  <si>
    <t xml:space="preserve">Número de eventos realizados en espacios públicos para la cultura y las artes  </t>
  </si>
  <si>
    <t xml:space="preserve">Conocer el numero  de eventos realizados en espacios públicos para la cultura y las artes  </t>
  </si>
  <si>
    <t>(EMCR + ECDR + ETCR + ECFR + EJCR + ECMR) / TEES  *100</t>
  </si>
  <si>
    <t>150 eventos realizados en espacios públicos para la cultura y las artes</t>
  </si>
  <si>
    <t>30 eventos</t>
  </si>
  <si>
    <t>175 eventos</t>
  </si>
  <si>
    <t xml:space="preserve">5 servicios </t>
  </si>
  <si>
    <t xml:space="preserve">20 servicios </t>
  </si>
  <si>
    <t xml:space="preserve">60 servicios </t>
  </si>
  <si>
    <t xml:space="preserve">Servicios realizados para el fortalecimiento y mejora de bibliotecas municipales </t>
  </si>
  <si>
    <t xml:space="preserve">Conocer el número de eventos realizados para el fortalecimiento de mejora de bibliotecas municipales </t>
  </si>
  <si>
    <t>(SABR / SAAP) * 100</t>
  </si>
  <si>
    <t xml:space="preserve">33 servicios realizados para fortalecimiento y mejora de bibliotecas municipales </t>
  </si>
  <si>
    <t>59 servicios realizados de atención a bibliotecas municipales</t>
  </si>
  <si>
    <t>2 nuevos programas</t>
  </si>
  <si>
    <t>Nuevos programas para el fomento de la lectura en espacios públicos</t>
  </si>
  <si>
    <t>Verificar el incremento de programas para fomento a la lectura y promoción de libros en espacios públicos.</t>
  </si>
  <si>
    <t>PFLN / PFLT *100</t>
  </si>
  <si>
    <t xml:space="preserve">2 nuevos programas de fomento a la lectura </t>
  </si>
  <si>
    <t>4 programas de fomento a la lectura</t>
  </si>
  <si>
    <t>3 programas</t>
  </si>
  <si>
    <t xml:space="preserve">13 Visitas </t>
  </si>
  <si>
    <t>52 Visitas</t>
  </si>
  <si>
    <t>156 Visitas</t>
  </si>
  <si>
    <t xml:space="preserve">Número de visitas de la bibliomóvil realizadas en zona rural y colonias del municipio </t>
  </si>
  <si>
    <t xml:space="preserve">Conocer el Número de visitas de la bibliomóvil realizadas </t>
  </si>
  <si>
    <t>(VRBC + VRBR) / VPBL + 100</t>
  </si>
  <si>
    <t>16 visitas  realizadas por la bibliomóvil a zona rural y diversas colonias del municipio</t>
  </si>
  <si>
    <t>11 visitas realizadas con la Bibliomóvil en la ciudad</t>
  </si>
  <si>
    <t>415 becas</t>
  </si>
  <si>
    <t>1245 becas</t>
  </si>
  <si>
    <t>Número de becas a deportistas y entrenadores</t>
  </si>
  <si>
    <t>Conocer el  aumento en el número  de becas a deportistas y entrenadores.</t>
  </si>
  <si>
    <t xml:space="preserve">(BDEE / BDEP) * 100 </t>
  </si>
  <si>
    <t>458 becas</t>
  </si>
  <si>
    <t>457 becas</t>
  </si>
  <si>
    <t xml:space="preserve">557 becas </t>
  </si>
  <si>
    <t>1472 becas entregadas a deportistas y entrenadores</t>
  </si>
  <si>
    <t>Creación del Fideicomiso del deporte</t>
  </si>
  <si>
    <t>Conocer el avance en la creación del fideicomiso del deporte.</t>
  </si>
  <si>
    <t>( EIPR + CJAY + EIFI + FIFI) / TACF * 100</t>
  </si>
  <si>
    <t>Instituto Municipal de Cultura Física, Deporte y Juventud</t>
  </si>
  <si>
    <t>0 actividades realizadas para creación del fideicomiso del deporte</t>
  </si>
  <si>
    <t>2 actividades (Coordinación con jurídico del Ayuntamiento y Elección de Institución financiera)</t>
  </si>
  <si>
    <t>2 actividades realizadas para creación del fideicomiso del deporte</t>
  </si>
  <si>
    <t>50 comités apoyados</t>
  </si>
  <si>
    <t>Porcentaje de comités deportivos apoyados</t>
  </si>
  <si>
    <t>Conocer el porcentaje de comités deportivos apoyados con respecto a la meta constante establecida.</t>
  </si>
  <si>
    <t>( COAP / COPR ) * 100</t>
  </si>
  <si>
    <t>54 comités apoyados</t>
  </si>
  <si>
    <t>58 comités apoyados</t>
  </si>
  <si>
    <t>54 comités</t>
  </si>
  <si>
    <t>1 evento de premiación</t>
  </si>
  <si>
    <t>3 eventos de premiación</t>
  </si>
  <si>
    <t>Eventos realizados de reconocimiento y premiación (Teporaca) a deportistas destacados</t>
  </si>
  <si>
    <t xml:space="preserve">Verificar que se efectúen eventos de reconocimiento a deportistas destacados.  </t>
  </si>
  <si>
    <t>(EPRR / EPRP) * 100</t>
  </si>
  <si>
    <t xml:space="preserve">1 evento de premiación </t>
  </si>
  <si>
    <t>1 eventos de premiación</t>
  </si>
  <si>
    <t xml:space="preserve">3 evento de premiación </t>
  </si>
  <si>
    <t>900 talentos deportivos</t>
  </si>
  <si>
    <t>2,700 talentos deportivos</t>
  </si>
  <si>
    <t>Número de talentos deportivos detectados</t>
  </si>
  <si>
    <t>Conocer el número de talentos deportivos detectados.</t>
  </si>
  <si>
    <t>(TDDT /TDPR) * 100</t>
  </si>
  <si>
    <t xml:space="preserve">908 deportistas de alto rendimiento apoyados </t>
  </si>
  <si>
    <t>3365  talentos deportistas detectados</t>
  </si>
  <si>
    <t xml:space="preserve">557 talentos deportivos </t>
  </si>
  <si>
    <t xml:space="preserve">5,730 deportistas de alto rendimiento apoyados </t>
  </si>
  <si>
    <t>5 apoyos</t>
  </si>
  <si>
    <t>15 apoyos</t>
  </si>
  <si>
    <t>Apoyos otorgados a deportistas de alto rendimiento</t>
  </si>
  <si>
    <t>Conocer el número de apoyos otorgados a deportistas de alto rendimiento.</t>
  </si>
  <si>
    <t>(APOT / APPR) *100</t>
  </si>
  <si>
    <t>8 apoyos</t>
  </si>
  <si>
    <t>13 apoyos otorgados a deportistas de alto rendimiento</t>
  </si>
  <si>
    <t xml:space="preserve">5 apoyos </t>
  </si>
  <si>
    <t>18 apoyos otorgados a deportistas de alto rendimiento</t>
  </si>
  <si>
    <t>1250 Beneficiarios</t>
  </si>
  <si>
    <t>5000 Beneficiarios</t>
  </si>
  <si>
    <t>15000 Beneficiarios</t>
  </si>
  <si>
    <t>Número de niños y jóvenes que realizan actividades en escuelas de iniciación deportiva</t>
  </si>
  <si>
    <t>Conocer el número de beneficiarios de las escuelas de iniciación deportiva.</t>
  </si>
  <si>
    <t>TBA/TBEI *100</t>
  </si>
  <si>
    <t>5354 beneficiarios inscritos en escuelas de iniciación deportiva.</t>
  </si>
  <si>
    <t>13,660 beneficiarios inscritos en escuelas de iniciación deportiva</t>
  </si>
  <si>
    <t>1200 beneficiarios</t>
  </si>
  <si>
    <t>Número de personas beneficiadas del programa de deporte adaptado</t>
  </si>
  <si>
    <t>Conocer el número de personas beneficiadas del programa de deporte adaptado en las diferentes instalaciones deportivas.</t>
  </si>
  <si>
    <t>(PB / PP) *100</t>
  </si>
  <si>
    <t>445 beneficiarios</t>
  </si>
  <si>
    <t>3107beneficiarios del programa de deporte adaptado</t>
  </si>
  <si>
    <t>5 asentamientos tarahumaras</t>
  </si>
  <si>
    <t>Asentamientos tarahumaras atendidos a través del programa de deporte autóctono</t>
  </si>
  <si>
    <t>Conocer el número de asentamientos tarahumaras atendidos a través del programa de deporte autóctono.</t>
  </si>
  <si>
    <t>(ATA / ATP) *100</t>
  </si>
  <si>
    <t>5 asentamientos tarahumaras atendidos del programa de deporte autóctono</t>
  </si>
  <si>
    <t>5 asentamientos</t>
  </si>
  <si>
    <t>3200 usuarios</t>
  </si>
  <si>
    <t>9600 usuarios</t>
  </si>
  <si>
    <t>Usuarios atendidos en centros deportivos</t>
  </si>
  <si>
    <t>Conocer el número de usuarios atendidos en centros deportivos.</t>
  </si>
  <si>
    <t>(UA / UP) *100</t>
  </si>
  <si>
    <t>3550 usuarios</t>
  </si>
  <si>
    <t>19,529 usuarios atendidos en centros deportivos</t>
  </si>
  <si>
    <t>Eventos deportivos, culturales y cívicos de carácter masivo realizados en instalaciones deportivas</t>
  </si>
  <si>
    <t>Conocer el número de eventos deportivos, culturales y cívicos realizados en instalaciones deportivas.</t>
  </si>
  <si>
    <t>(ER / EP) *100</t>
  </si>
  <si>
    <t>33 eventos realizados en instalaciones deportivas</t>
  </si>
  <si>
    <t>125 usuarios</t>
  </si>
  <si>
    <t>500 usuarios</t>
  </si>
  <si>
    <t>1500 usuarios</t>
  </si>
  <si>
    <t>Usuarios atendidos en gimnasios de box del municipio</t>
  </si>
  <si>
    <t>Conocer el número de usuarios atendidos en gimnasios de box del municipio.</t>
  </si>
  <si>
    <t>1075 beneficiarios</t>
  </si>
  <si>
    <t>2,636 usuarios atendidos en gimnasios de box</t>
  </si>
  <si>
    <t>1 olimpiada</t>
  </si>
  <si>
    <t xml:space="preserve">3 olimpiadas </t>
  </si>
  <si>
    <t>Olimpiadas municipales del adulto mayor realizadas.</t>
  </si>
  <si>
    <t>Conocer el número de olimpiadas del adulto mayor realizadas en el municipio.</t>
  </si>
  <si>
    <t>(OAMR / OAMP) *100</t>
  </si>
  <si>
    <t>0 olimpiada</t>
  </si>
  <si>
    <t>450 adultos mayores</t>
  </si>
  <si>
    <t>1800 adultos mayores</t>
  </si>
  <si>
    <t>5400 adultos mayores</t>
  </si>
  <si>
    <t>Adultos mayores beneficiados con programa de activaciones físicas.</t>
  </si>
  <si>
    <t>Conocer el número de adultos mayores beneficiados con programa de activaciones físicas.</t>
  </si>
  <si>
    <t>(AMRE / AMPR) *100</t>
  </si>
  <si>
    <t>1901 beneficiarios</t>
  </si>
  <si>
    <t>5,243 adultos mayores beneficiados con programa de activación física</t>
  </si>
  <si>
    <t>Número de olimpiadas infantiles y juveniles impulsadas</t>
  </si>
  <si>
    <t>Conocer el numero de olimpiadas infantiles y juveniles impulsadas.</t>
  </si>
  <si>
    <t>(OIJR / OIJP) * 100</t>
  </si>
  <si>
    <t>1 olimpiada infantil y juvenil realizada</t>
  </si>
  <si>
    <t>2 olimpiada infantil y juvenil realizada</t>
  </si>
  <si>
    <t>2 olimpiadas</t>
  </si>
  <si>
    <t>6 olimpiadas infantil y juvenil realizadas</t>
  </si>
  <si>
    <t>Olimpiadas deportivas realizadas en comunidades rurales</t>
  </si>
  <si>
    <t>Conocer el número de olimpiadas deportivas realizadas en comunidades rurales.</t>
  </si>
  <si>
    <t>(ODRE / ODPR) * 100</t>
  </si>
  <si>
    <t>1 olimpiadas deportivas rurales</t>
  </si>
  <si>
    <t>3 olimpiadas deportivas rurales</t>
  </si>
  <si>
    <t>50 promotores</t>
  </si>
  <si>
    <t>Número de promotores deportivos operando en instalaciones municipales</t>
  </si>
  <si>
    <t>Conocer el numero de promotores operando en centros deportivos.</t>
  </si>
  <si>
    <t>( PRIN / PACD ) * 100</t>
  </si>
  <si>
    <t>149 promotores en centros deportivos.</t>
  </si>
  <si>
    <t>51 promotores operando en instalaciones municipales</t>
  </si>
  <si>
    <t>51 promotores</t>
  </si>
  <si>
    <t>3 cursos</t>
  </si>
  <si>
    <t>9 cursos</t>
  </si>
  <si>
    <t>Cursos realizados a promotores deportivos para especialización en tema de adulto mayor y otros</t>
  </si>
  <si>
    <t>Verificar que se lleven a cabo cursos de especialización en la atención al adulto mayor  a promotores</t>
  </si>
  <si>
    <t>(CREA / CPEA) * 100</t>
  </si>
  <si>
    <t>3 cursos realizados a promotores deportivos para especialización en atención al adulto mayor.</t>
  </si>
  <si>
    <t>12 cursos realizados a promotores deportivos para especialización en atención al adulto mayor.</t>
  </si>
  <si>
    <t>1 curso</t>
  </si>
  <si>
    <t>2 unidades deportivas mejoradas y nuevos espacios.</t>
  </si>
  <si>
    <t>10 unidades deportivas mejoradas y nuevos espacios.</t>
  </si>
  <si>
    <t>30 unidades deportivas mejoradas y nuevos espacios.</t>
  </si>
  <si>
    <t>Ampliación y mejoramiento de la infraestructura deportiva</t>
  </si>
  <si>
    <t>Conocer el avance en las ampliaciones y acciones de mejora realizadas a la infraestructura deportiva en el municipio.</t>
  </si>
  <si>
    <t>(UDA/ UDP) * 100</t>
  </si>
  <si>
    <t>14 unidades deportivas mejoradas y 3 nuevos espacios deportivos.</t>
  </si>
  <si>
    <t>7 unidades deportivas</t>
  </si>
  <si>
    <t>1 gestión</t>
  </si>
  <si>
    <t>3 gestiones</t>
  </si>
  <si>
    <t>Gestión para proyectos de espacios para ciclistas y corredores</t>
  </si>
  <si>
    <t>Verificar que se lleve a cabo la gestión de proyectos para nuevos espacios para ciclistas y corredores.</t>
  </si>
  <si>
    <t>(GERE / GEPR) *100</t>
  </si>
  <si>
    <t>0 gestiones</t>
  </si>
  <si>
    <t>16 eventos</t>
  </si>
  <si>
    <t>48 eventos</t>
  </si>
  <si>
    <t>Número de eventos de orientación a la juventud realizados</t>
  </si>
  <si>
    <t>Conocer el número de eventos realizados para orientación a la juventud.</t>
  </si>
  <si>
    <t>(EOJR / EOJP) *100</t>
  </si>
  <si>
    <t>17 eventos</t>
  </si>
  <si>
    <t>9 eventos de orientación a la juventud</t>
  </si>
  <si>
    <t>4 gestiones</t>
  </si>
  <si>
    <t>12 gestiones</t>
  </si>
  <si>
    <t>Gestiones para programas de emprendedores juveniles y estímulos a la juventud</t>
  </si>
  <si>
    <t>Verificar que se realicen gestiones de programas para emprendedores juveniles y de estímulos a la juventud.</t>
  </si>
  <si>
    <t>(GPJR / GPJP) * 100</t>
  </si>
  <si>
    <t>9 gestiones realizadas para programas de emprendedores juveniles.</t>
  </si>
  <si>
    <t>6 gestiones para programas de emprendores juveniles</t>
  </si>
  <si>
    <t>8 gestiones para programas de emprendedores juveniles</t>
  </si>
  <si>
    <t>23 gestiones realizadas para programas de emprendedores juveniles.</t>
  </si>
  <si>
    <t>1 sesión</t>
  </si>
  <si>
    <t>4 sesiones</t>
  </si>
  <si>
    <t>12 sesiones</t>
  </si>
  <si>
    <t>Sesiones del consejo municipal de la juventud</t>
  </si>
  <si>
    <t>Conocer  el número de sesiones realizadas del consejo municipal de la juventud.</t>
  </si>
  <si>
    <t>(SP / SR) *100</t>
  </si>
  <si>
    <t>1 sesión del consejo municipal de la juventud</t>
  </si>
  <si>
    <t>2 sesiones del consejo municipal de la juventud</t>
  </si>
  <si>
    <t>7 sesiones del consejo municipal de la juventud</t>
  </si>
  <si>
    <t>1 actividad de promoción</t>
  </si>
  <si>
    <t>3 actividades de promoción</t>
  </si>
  <si>
    <t>Actividades de promoción realizadas para el premio nacional de la juventud</t>
  </si>
  <si>
    <t>Conocer el número de actividades de promoción realizadas para dar a conocer la convocatoria del premio nacional de la juventud.</t>
  </si>
  <si>
    <t>(ACPR / ACPP) *100</t>
  </si>
  <si>
    <t>1 actividad de promoción al premio nacional de la juventud</t>
  </si>
  <si>
    <t>1 actividades</t>
  </si>
  <si>
    <t>5 actividad de promoción al premio nacional de la juventud</t>
  </si>
  <si>
    <t xml:space="preserve">2 Eventos </t>
  </si>
  <si>
    <t>Número de eventos realizados del programa "Construyendo juventud con sentido"</t>
  </si>
  <si>
    <t xml:space="preserve">Conocer el número de eventos realizados del programa "Construyendo juventud con sentido" </t>
  </si>
  <si>
    <t>(ECJR / ECJP) * 100</t>
  </si>
  <si>
    <t>1 evento realizado del programa "Construyendo juventud con sentido"</t>
  </si>
  <si>
    <t>2 evento realizado del programa "Construyendo juventud con sentido"</t>
  </si>
  <si>
    <t xml:space="preserve">5 Actividades </t>
  </si>
  <si>
    <t>Desarrollo del "Taller vocacional cinematográfico"</t>
  </si>
  <si>
    <t>Conocer el avance en el desarrollo del "Taller vocacional cinematográfico"</t>
  </si>
  <si>
    <t>(ANTV+PRTV+CONT+SELT+PMTV / ATDT) * 100</t>
  </si>
  <si>
    <t>1 Actividad realizada para el desarrollo del "Taller vocacional cinematográfico" (anteproyecto)</t>
  </si>
  <si>
    <t>1 actividad (proyecto)</t>
  </si>
  <si>
    <t>5 Actividades realizada para el desarrollo del "Taller vocacional cinematográfico" (anteproyecto y proyecto)</t>
  </si>
  <si>
    <t>Dirección de Desarrollo Urbano y Ecología</t>
  </si>
  <si>
    <t>60 pláticas a jóvenes</t>
  </si>
  <si>
    <t>240 pláticas a jóvenes</t>
  </si>
  <si>
    <t>720 pláticas a jóvenes</t>
  </si>
  <si>
    <t>Número de pláticas a jóvenes para impulsar la participación activa en el desarrollo de proyectos de preservación ambiental y ecológica</t>
  </si>
  <si>
    <t>Verificar que se realicen las pláticas a jóvenes para impulsar la participación activa.</t>
  </si>
  <si>
    <t>( PRAE / PPAE ) * 100</t>
  </si>
  <si>
    <t>254 pláticas a jóvenes para impulsar desarrollo de proyectos de preservación ambiental y ecológica</t>
  </si>
  <si>
    <t>118 pláticas a jóvenes para impulsar la participación en el desarrollo de proyectos de preservación ambiental y ecológica</t>
  </si>
  <si>
    <t>Instituto Municipal de las Mujeres</t>
  </si>
  <si>
    <t>3 empleos</t>
  </si>
  <si>
    <t>12 empleos</t>
  </si>
  <si>
    <t>36 empleos</t>
  </si>
  <si>
    <t>Número de empleos obtenidos para mujeres víctimas de violencia</t>
  </si>
  <si>
    <t>Conocer el número de empleos obtenidos por el Municipio para mujeres víctimas de la violencia.</t>
  </si>
  <si>
    <t>(EO / EPO) *100</t>
  </si>
  <si>
    <t>31 empleo obtenidos para mujeres victimas de violencias.</t>
  </si>
  <si>
    <t>35 empleos obtenidos para mujeres víctimas de violencia</t>
  </si>
  <si>
    <t>5 empleos</t>
  </si>
  <si>
    <t>74  empleos obtenidos para mujeres víctimas de violencia</t>
  </si>
  <si>
    <t>2 talleres</t>
  </si>
  <si>
    <t>8 talleres</t>
  </si>
  <si>
    <t>24 talleres</t>
  </si>
  <si>
    <t>Número de talleres impartidos para el desarrollo de habilidades y capacidades productivas</t>
  </si>
  <si>
    <t>Conocer el número de talleres impartidos para el desarrollo de habilidades y capacidades productivas.</t>
  </si>
  <si>
    <t>(TI / TPI) *100</t>
  </si>
  <si>
    <t>7 talleres impartidos para el desarrollo de habilidades y capacidades productivas.</t>
  </si>
  <si>
    <t>16 talleres impartidos para el desarrollo de habilidades y capacidades productivas</t>
  </si>
  <si>
    <t>2 cursos</t>
  </si>
  <si>
    <t>8 cursos</t>
  </si>
  <si>
    <t>24 cursos</t>
  </si>
  <si>
    <t>Cursos de inducción y capacitación para apoyo de mujeres en búsqueda de empleo</t>
  </si>
  <si>
    <t>Conocer el número de cursos de inducción y capacitación impartidos a mujeres para facilitar la búsqueda de empleo, su adaptación y crecimiento profesional.</t>
  </si>
  <si>
    <t>(CR / CPR) *100</t>
  </si>
  <si>
    <t>5 cursos de inducción y capacitación realizados para apoyo de mujeres en búsqueda de empleo.</t>
  </si>
  <si>
    <t>7 cursos de inducción y capacitación para apoyo de mujeres en búsqueda de empleo</t>
  </si>
  <si>
    <t>Sesiones del Consejo Municipal de Atención a la Discriminación y Derechos Humanos realizadas.</t>
  </si>
  <si>
    <t>Conocer el número de sesiones del Consejo Municipal de Atención a la Discriminación y Derechos Humanos.</t>
  </si>
  <si>
    <t>(SCRR / SCPP) *100</t>
  </si>
  <si>
    <t>0 sesiones del consejo municipal de atención a la discriminación y derechos humanos</t>
  </si>
  <si>
    <t>0 sesiones del Consejo Municipal de Atención a la Discriminación y Derechos Humanos realizadas</t>
  </si>
  <si>
    <t>90 pláticas</t>
  </si>
  <si>
    <t>360 pláticas</t>
  </si>
  <si>
    <t>1,080 pláticas</t>
  </si>
  <si>
    <t>Número de pláticas impartidas para fomentar "Pro igualdad" entre las mujeres</t>
  </si>
  <si>
    <t>Conocer el número de pláticas impartidas para fomentar la denuncia de violencia contra las mujeres.</t>
  </si>
  <si>
    <t>(PPRR / PPRP) *100</t>
  </si>
  <si>
    <t>398 pláticas pro igualdad impartidas.</t>
  </si>
  <si>
    <t>318 pláticas impartidas para fomentar pro igualdad entre las mujeres</t>
  </si>
  <si>
    <t>1 sistema de detección temprana</t>
  </si>
  <si>
    <t>3 sistemas de detección temprana</t>
  </si>
  <si>
    <t>Sistemas de detección temprana de situaciones de violencia contra mujeres establecidos</t>
  </si>
  <si>
    <t>Conocer el número de sistemas establecidos para la detección temprana de situaciones de violencia contra las mujeres.</t>
  </si>
  <si>
    <t>(SE / SPE) *100</t>
  </si>
  <si>
    <t>4 sistemas de detección temprana de situaciones de violencia contra mujeres establecidos.</t>
  </si>
  <si>
    <t>2 sistemas de detección temprana</t>
  </si>
  <si>
    <t>12 sistemas de detección temprana de situaciones de violencia contra mujeres ESTABLECIDOS</t>
  </si>
  <si>
    <t>1 diagnóstico</t>
  </si>
  <si>
    <t>Diagnóstico sobre discriminación, violencia y violación de derechos humanos a mujeres del municipio</t>
  </si>
  <si>
    <t>Verificar que se haya elaborado el diagnóstico sobre discriminación, violencia y violación de derechos humanos a mujeres del municipio.</t>
  </si>
  <si>
    <t>(DREA / DPRO) *100</t>
  </si>
  <si>
    <t>Diagnóstico sobre discriminación, violencia y violación de derechos humanos a mujeres del municipio TERMINADO</t>
  </si>
  <si>
    <t>100 servidores públicos</t>
  </si>
  <si>
    <t>400 servidores públicos</t>
  </si>
  <si>
    <t>1,200 servidores públicos</t>
  </si>
  <si>
    <t>Número de servidores públicos municipales capacitados sobre la violencia de género</t>
  </si>
  <si>
    <t>Conocer el número de servidores públicos capacitados en el tema de violencia de género.</t>
  </si>
  <si>
    <t>(SPC / SPPC) *100</t>
  </si>
  <si>
    <t>336 servidores públicos capacitados sobre violencia de género.</t>
  </si>
  <si>
    <t>311 servidores públicos capacitados sobre violencia de género</t>
  </si>
  <si>
    <t>Organización del primer encuentro interinstitucional de atención a la violencia contra las mujeres</t>
  </si>
  <si>
    <t>Conocer el avance para la realización del Primer Encuentro Interinstitucional de Atención a la Violencia Contra las Mujeres.</t>
  </si>
  <si>
    <t>(A1 + A2 + A3 + A4) / TAPI *100</t>
  </si>
  <si>
    <t>0 actividades realizadas para organización del primer encuentro interinstitucional de atención a la violencia contra las mujeres.</t>
  </si>
  <si>
    <t>4 actividades realizadas para organización del primer encuentro interinstitucional de atención a la violencia contra las mujeres.</t>
  </si>
  <si>
    <t>2 campañas</t>
  </si>
  <si>
    <t>10 campañas</t>
  </si>
  <si>
    <t>30 campañas</t>
  </si>
  <si>
    <t>Número de campañas de promoción realizadas para fomentar la denuncia de violencia contra mujeres</t>
  </si>
  <si>
    <t>Conocer el número de campañas realizadas para fomentar la denuncia de violencia contra las mujeres.</t>
  </si>
  <si>
    <t>7 campañas realizadas para fomentar denuncia de violencia contra mujeres.</t>
  </si>
  <si>
    <t>12 campañas de promoción realizadas para fomentar la denuncia de violencia contra mujeres</t>
  </si>
  <si>
    <t>Dirección de Servicios Públicos Municipales</t>
  </si>
  <si>
    <t>SERVICIOS PÚBLICOS DE CALIDAD Y TRANSFORMACIÓN URBANA</t>
  </si>
  <si>
    <t>5 lotes de insumos</t>
  </si>
  <si>
    <t>15 lotes de insumos</t>
  </si>
  <si>
    <t>Adquisición de insumos para operación de las barredoras</t>
  </si>
  <si>
    <t>Conocer los insumos del equipo de limpieza urbana para saber la calidad del mantenimiento.</t>
  </si>
  <si>
    <t>(LIA/LIP)*100</t>
  </si>
  <si>
    <t>0 barredoras adquiridas</t>
  </si>
  <si>
    <t>7 lotes de insumos</t>
  </si>
  <si>
    <t>14 lotes de insumos</t>
  </si>
  <si>
    <t>2 equipos</t>
  </si>
  <si>
    <t>Adquisición de equipo para limpieza y mantenimiento del centro histórico</t>
  </si>
  <si>
    <t>Verificar que se lleve a cabo la adquisición  de equipo para limpieza y mantenimiento del centro histórico.</t>
  </si>
  <si>
    <t>( RCHA + BCAD ) / BCPR * 100</t>
  </si>
  <si>
    <t>2 equipos (1 restregadora y 1 barredora) para limpieza de Centro Histórico adquiridas</t>
  </si>
  <si>
    <t>2 equipos adquiridos (1 restregadora y 1 barredora)</t>
  </si>
  <si>
    <t>2 supervisores</t>
  </si>
  <si>
    <t>Nuevos supervisores de recolección municipal (supervisores ciudadanos)</t>
  </si>
  <si>
    <t>Verificar el incremento de los supervisores con sus respectivos vehículos para el servicio de recolección.</t>
  </si>
  <si>
    <t>( CVIN / SVPR ) * 100</t>
  </si>
  <si>
    <t>50 equipos</t>
  </si>
  <si>
    <t>Número de equipos de georeferenciación instalados en camiones de recolección de basura</t>
  </si>
  <si>
    <t>Verificar que se digitalicen rutas de recolección a través de la colocación de equipos de georeferenciación en camiones recolectores de basura.</t>
  </si>
  <si>
    <t>( EGIN / EGPR ) * 100</t>
  </si>
  <si>
    <t>0 equipos</t>
  </si>
  <si>
    <t>Centro de lavado para camiones recolectores del municipio</t>
  </si>
  <si>
    <t>Conocer el avance de la instalación del centro de lavado para camiones recolectores del municipio.</t>
  </si>
  <si>
    <t>( DEPR + LICO + ADPR + INST + PUMA ) / TAPL * 100</t>
  </si>
  <si>
    <t>Centro de lavado para camiones recolectores del municipio terminado</t>
  </si>
  <si>
    <t>5 actividades realizadas (Centro de lavado para camiones terminado)</t>
  </si>
  <si>
    <t>Ampliación del relleno sanitario</t>
  </si>
  <si>
    <t>Conocer el porcentaje de avance de la ampliación del relleno sanitario.</t>
  </si>
  <si>
    <t>( DEPR + APFO + ADPR + INOC + PUMR ) / TAAR * 100</t>
  </si>
  <si>
    <t>Ampliación del relleno sanitario completa</t>
  </si>
  <si>
    <t>5 actividades realizadas (ampliación del relleno sanitario terminada)</t>
  </si>
  <si>
    <t>6 
visitas guiadas</t>
  </si>
  <si>
    <t>24 
visitas guiadas</t>
  </si>
  <si>
    <t>72 
visitas guiadas</t>
  </si>
  <si>
    <t>Número de visitas guiadas al relleno sanitario</t>
  </si>
  <si>
    <t xml:space="preserve">Conocer el número de visitas guiadas al relleno sanitario. </t>
  </si>
  <si>
    <t>( VGRE / VGPR ) * 100</t>
  </si>
  <si>
    <t>20 visitas guiadas</t>
  </si>
  <si>
    <t>42 visitas guiadas</t>
  </si>
  <si>
    <t>5 visitas guiadas</t>
  </si>
  <si>
    <t>67 visitas guiadas</t>
  </si>
  <si>
    <t>Puesta en operación de la planta seleccionadora de materiales reciclables</t>
  </si>
  <si>
    <t>Conocer el avance de la puesta en operación de la planta seleccionadora de materiales reciclables.</t>
  </si>
  <si>
    <t>( DEPR + LICI + ADPR + INST + PMAR ) / TAPL * 100</t>
  </si>
  <si>
    <t>0 actividades realizadas para puesta en operación de la planta seleccionadora de materiales reciclables</t>
  </si>
  <si>
    <t>2 actividades</t>
  </si>
  <si>
    <t>Construcción de barrera verde en la celda no. 1 del relleno sanitario</t>
  </si>
  <si>
    <t>Conocer el porcentaje de avance de la construcción de la barrera verde en la celda No. 1 del relleno sanitario.</t>
  </si>
  <si>
    <t>((IRAT+IBV)/TACB)*100</t>
  </si>
  <si>
    <t>0 actividades para la construcción de la barrera verde en la celda no. 1 del relleno sanitario</t>
  </si>
  <si>
    <t>1 actividad para la construcción de la barrera verde en la celda no. 1 del relleno sanitario (instalación de red morada)</t>
  </si>
  <si>
    <t>1 renta de maquinaria</t>
  </si>
  <si>
    <t>3 rentas de maquinaria</t>
  </si>
  <si>
    <t>Maquinaria adquirida para operación de relleno sanitario</t>
  </si>
  <si>
    <t>Verificar que se adquiera la maquinaria para operación del relleno sanitario.</t>
  </si>
  <si>
    <t>(TMA/TMR)*100</t>
  </si>
  <si>
    <t>0 reportes</t>
  </si>
  <si>
    <t>1 adquisicón de maquinaria (compactador H26 tipo pata de cabra)</t>
  </si>
  <si>
    <t>5 máquinas rentadas</t>
  </si>
  <si>
    <t>6 máquinas rentadas</t>
  </si>
  <si>
    <t>Proyecto de aprovechamiento de biogás para energía eléctrica</t>
  </si>
  <si>
    <t>Conocer el avance de las acciones que se realicen para realizar el proyecto para aprovechar el biogás generado por la celda no. 2</t>
  </si>
  <si>
    <t>((CC1+PAPB+IRP+IQB+AB)/TAAB)*100</t>
  </si>
  <si>
    <t>0 actividades para proyecto de aprovechamiento de biogás</t>
  </si>
  <si>
    <t>4 actividades ( clausura de la Celda, perforación, instalació de red e instalación del quemador)</t>
  </si>
  <si>
    <t>4 actividades ( clausura de la Celda, perforación, instalación de red e instalación del quemador)</t>
  </si>
  <si>
    <t>Horno crematorio para mascotas y animales muertos</t>
  </si>
  <si>
    <t>Conocer el avance en la instalación del crematorio para animales muertos.</t>
  </si>
  <si>
    <t>( DPRO + LOBE + AAPR + IOCI + PMCR) / TAIC * 100</t>
  </si>
  <si>
    <t>5 actividades (Horno crematorio para mascotas y animales muertos instalado)</t>
  </si>
  <si>
    <t>5 actividades realizadas (Horno crematorio para mascotas y animales muertos INSTALADO)</t>
  </si>
  <si>
    <t>Puesta en marcha del servicio de recolección a domicilio y cremación de mascotas</t>
  </si>
  <si>
    <t>Verificar que se lleve a cabo el proceso de difusión del servicio de cremación de mascotas.</t>
  </si>
  <si>
    <t>( DITR + RTDP + PMSC ) / TASE</t>
  </si>
  <si>
    <t>1 actividad para poner en marcha el servicio de recolección a domicilio y cremación de mascotas</t>
  </si>
  <si>
    <t>3 actividades para poner en marcha el servicio de recolección a domicilio y cremación de mascotas</t>
  </si>
  <si>
    <t>Puesta en marcha de la excavación y cierre de tumbas como actividad del Municipio</t>
  </si>
  <si>
    <t>Evaluar el proceso para incorporar al Municipio las funciones de excavación y cierre de tumbas</t>
  </si>
  <si>
    <t>( CCAE + AGET + EXTU) / TAET * 100</t>
  </si>
  <si>
    <t>0 actividades para poner en marcha la excavación y cierre de tumbas como actividad del municipio</t>
  </si>
  <si>
    <t>Oferta de servicios funerarios y/o cremación a bajo costo en los panteones municipales a la ciudadanía</t>
  </si>
  <si>
    <t>Medir el avance de actividades para ofertar servicios de cremación.</t>
  </si>
  <si>
    <t xml:space="preserve">(TRFO + LIOB + CNOB + PUSE) / TPOF *100 </t>
  </si>
  <si>
    <t>0 actividades para ofertar servicios funerarios y/o cremación a bajo costo en panteones municipales</t>
  </si>
  <si>
    <t>4 actividades (trámite y obtención de fondos, licitación y asignación de la obra, construcción de obra civil y publicación de la puesta en marcha de los servicios)</t>
  </si>
  <si>
    <t>144 nichos mortuorios</t>
  </si>
  <si>
    <t xml:space="preserve">432 nichos mortuorios </t>
  </si>
  <si>
    <t>Nichos mortuorios a disposición de la ciudadanía</t>
  </si>
  <si>
    <t>Conocer el avance en la disposición de nichos mortuorios a la ciudadanía.</t>
  </si>
  <si>
    <t>( NDIS / NIPR ) * 100</t>
  </si>
  <si>
    <t>0 nichos mortuorios a disposición de la ciudadanía</t>
  </si>
  <si>
    <t>144 nichos mortuorios a disposición de la ciudadanía</t>
  </si>
  <si>
    <t>432 nichos mortuorios a disposición de la ciudadanía</t>
  </si>
  <si>
    <t>100 circuitos</t>
  </si>
  <si>
    <t>400 circuitos</t>
  </si>
  <si>
    <t>1,200 circuitos</t>
  </si>
  <si>
    <t>Número de circuitos rehabilitados de la red de alumbrado público</t>
  </si>
  <si>
    <t>Conocer el número de circuitos rehabilitados de la Red de Alumbrado Público, en relación a la meta establecida.</t>
  </si>
  <si>
    <t>589 circuitos rehabilitados de la red de alumbrado público</t>
  </si>
  <si>
    <t>503 circuitos rehabilitados</t>
  </si>
  <si>
    <t>1,112 circuitos rehabilitados</t>
  </si>
  <si>
    <t>3750 acciones</t>
  </si>
  <si>
    <t>15,000 acciones</t>
  </si>
  <si>
    <t>45,000 acciones</t>
  </si>
  <si>
    <t>Número de acciones de control, supervisión y mantenimiento de alumbrado público</t>
  </si>
  <si>
    <t>Conocer el número de acciones realizadas de control, supervisión y mantenimiento de alumbrado público</t>
  </si>
  <si>
    <t>31,540 acciones de control, supervisión y mantenimiento del alumbrado público</t>
  </si>
  <si>
    <t>26,293 programas de control realizados</t>
  </si>
  <si>
    <t>13,455 acciones de control</t>
  </si>
  <si>
    <t>64,702 acciones de control, supervisión y mantenimiento del alumbrado público</t>
  </si>
  <si>
    <t>34 sistemas de transformación</t>
  </si>
  <si>
    <t>100 sistemas de transformación</t>
  </si>
  <si>
    <t xml:space="preserve"> Número de sistemas de transformación instalados en la red de alumbrado público</t>
  </si>
  <si>
    <t>Conocer el número de Sistemas de Transformación instalados en la Red de Alumbrado Público</t>
  </si>
  <si>
    <t>(STI / STPI) *100</t>
  </si>
  <si>
    <t>7 sistemas de transformación instalados</t>
  </si>
  <si>
    <t>11 sistemas de transformación instalados</t>
  </si>
  <si>
    <t>38 sistemas de transformación instalados</t>
  </si>
  <si>
    <t>2,500 luminarias</t>
  </si>
  <si>
    <t>10,000 luminarias</t>
  </si>
  <si>
    <t>30,000 luminarias</t>
  </si>
  <si>
    <t>Número de luminarias sustituidas de la red de alumbrado público</t>
  </si>
  <si>
    <t>Conocer el número de luminarias sustituidas de la red de alumbrado público.</t>
  </si>
  <si>
    <t>(LUSU / LUPR) *100</t>
  </si>
  <si>
    <t>21259 luminarias sustituidas de la red de alumbrado público</t>
  </si>
  <si>
    <t>18,288 luminarias sustituidas</t>
  </si>
  <si>
    <t>11,580 luminarias sustituidas</t>
  </si>
  <si>
    <t>60,706 luminarias sustituidas de la red de alumbrado público</t>
  </si>
  <si>
    <t>167,000 m2</t>
  </si>
  <si>
    <t>667,000 m2</t>
  </si>
  <si>
    <t>2,000,000 m2</t>
  </si>
  <si>
    <t>Metros cuadrados rehabilitados de vialidades y calles</t>
  </si>
  <si>
    <t>Conocer el número de metros cuadrados rehabilitados de calles y vialidades en Zona Urbana y Rural, en relación a la meta establecida.</t>
  </si>
  <si>
    <t>(MRZU + MRZR  / TMVR) *100</t>
  </si>
  <si>
    <t>868227 metros cuadrados rehabilitados en calles y vialidades</t>
  </si>
  <si>
    <t>926,348 metros cuadrados de vialidades y calles rehabilitados</t>
  </si>
  <si>
    <t>145,006m2</t>
  </si>
  <si>
    <t>2,555,903.63  metros cuadrados de vialidades y calles rehabilitados (acumulado de líneas 2.2.1.3, 2.2.1.4 y 2.2.1.5 en recarpeteo esta última)</t>
  </si>
  <si>
    <t>Consejo de Urbanización Municipal</t>
  </si>
  <si>
    <t>25,000 m2</t>
  </si>
  <si>
    <t>75,000 m2</t>
  </si>
  <si>
    <t>Metros cuadrados rehabilitados de vialidades y calles por esquema de cooperación en colonias populares</t>
  </si>
  <si>
    <t>Conocer el porcentaje de avance en la Rehabilitación de Vialidades y calles por esquema de cooperación en colonias populares.</t>
  </si>
  <si>
    <t>(TMVR / MVR) * 100</t>
  </si>
  <si>
    <t>19964.24 metros cuadrados</t>
  </si>
  <si>
    <t>6,663 metros cuadrados de vialidades y calles rehabilitadas</t>
  </si>
  <si>
    <t xml:space="preserve">3,859.98 m2 rehabilitados </t>
  </si>
  <si>
    <t>30,487.22 metros cuadrados de vialidades y calles rehabilitadas</t>
  </si>
  <si>
    <t>11,667 m2</t>
  </si>
  <si>
    <t>46,667 m2</t>
  </si>
  <si>
    <t>140,000 m2</t>
  </si>
  <si>
    <t>Número de metros cuadrados restaurados con White toping.</t>
  </si>
  <si>
    <t>Conocer el número de metros cuadrados restaurados de pavimento de asfalto con White topping.</t>
  </si>
  <si>
    <t>(MCRW / TMPW) *100</t>
  </si>
  <si>
    <t>10620 metros cuadrados restaurados con White topping</t>
  </si>
  <si>
    <t>O metros cuadrados restaurados con white topping</t>
  </si>
  <si>
    <t>17,825.21 metros cuadrados restaurados con White topping</t>
  </si>
  <si>
    <t>41,667 m2</t>
  </si>
  <si>
    <t>166,667 m2</t>
  </si>
  <si>
    <t>500,000 m2</t>
  </si>
  <si>
    <t>Metros cuadrados de pavimento asfáltico regenerado en colonias populares.</t>
  </si>
  <si>
    <t>Conocer el número de metros cuadrados de pavimento asfáltico regenerando en colonias populares.</t>
  </si>
  <si>
    <t>(MPR / MPPR) *100</t>
  </si>
  <si>
    <t>139,403 metros cuadrados de pavimento asfáltico regenerado en colonias populares</t>
  </si>
  <si>
    <t>81,072 metros cuadrados de pavimento asfáltico regenerados</t>
  </si>
  <si>
    <t>7222 m2</t>
  </si>
  <si>
    <t>227,667 metros cuadrados de pavimento asfáltico regenerado en colonias populares</t>
  </si>
  <si>
    <t>55,583.34 metros rehabilitados</t>
  </si>
  <si>
    <t>222,333.34 metros rehabilitados</t>
  </si>
  <si>
    <t>667,000 metros rehabilitados</t>
  </si>
  <si>
    <t>Número de metros cuadrados rehabilitados de calles y vialidades principales</t>
  </si>
  <si>
    <t>Conocer el de metros cuadrados rehabilitados de calles y vialidades principales.</t>
  </si>
  <si>
    <t>(MVRU * MVRR) / TMVR *100</t>
  </si>
  <si>
    <t>686,555 metros cuadrados rehabilitados en calles y vialidades principales</t>
  </si>
  <si>
    <t>1,229,890 metros cuadrados de vialidades y calles rehabilitados</t>
  </si>
  <si>
    <t>137,784m2</t>
  </si>
  <si>
    <t>2,054,229 metros cuadrados rehabilitados en calles y vialidades principales</t>
  </si>
  <si>
    <t>10,416.66 m2</t>
  </si>
  <si>
    <t>41,666.66 m2</t>
  </si>
  <si>
    <t>125,000 m2</t>
  </si>
  <si>
    <t>Número de metros cuadrados de recarpeteo, calafateo y bacheo</t>
  </si>
  <si>
    <t>Conocer el número de metros cuadrados de recarpeteo, calafateo y bacheo de calles y vialidades</t>
  </si>
  <si>
    <t>( MCRE + MCCA + MCBA ) / MCVP * 100</t>
  </si>
  <si>
    <t>6,219 m2 de recarpeteo, 0 m2 de calafateo y 66,326 m2 de bacheo</t>
  </si>
  <si>
    <t>96,380 m2 de bacheo y 83,351 m2 de recarpeteo</t>
  </si>
  <si>
    <t>24,085 m2 de bacheo</t>
  </si>
  <si>
    <t>89, 570 de recarpeteo y 186,791 m2 de bacheo u 0 de calafateo(276,361  en total)</t>
  </si>
  <si>
    <t>2,000 m2</t>
  </si>
  <si>
    <t>8,000 m2</t>
  </si>
  <si>
    <t>24,000 m2</t>
  </si>
  <si>
    <t>Metros adicionales de infraestructura de la red agua potable, alcantarillado y electrificación en colonias de alta marginación.</t>
  </si>
  <si>
    <t>Conocer la cantidad de metros cuadrados de nuevas redes instaladas para brindar mejor servicio.</t>
  </si>
  <si>
    <t>(MAP + MALC + MLE) / TPAE *100</t>
  </si>
  <si>
    <t>10,408 metros adicionales de infraestructura de la red de agua potable, alcantarillado y electrificación</t>
  </si>
  <si>
    <t>24883  metros adicionales de infraestructura de la red de agua potable, alcantarillado y electrificación (18931 agua potable,3837 alcantarillado y 2115 electrificación)</t>
  </si>
  <si>
    <t>224m alcantarillado y 3880m red de agua potable</t>
  </si>
  <si>
    <t>50,369  metros adicionales de infraestructura de la red de agua potable, alcantarillado y electrificación</t>
  </si>
  <si>
    <t>2 muros</t>
  </si>
  <si>
    <t>5 muros</t>
  </si>
  <si>
    <t>Número de muros construidos</t>
  </si>
  <si>
    <t>Conocer la cantidad de muros protectores de infraestructura de vivienda construidos en zona rural.</t>
  </si>
  <si>
    <t>(TDMC / TDMP) *100</t>
  </si>
  <si>
    <t>3 muros</t>
  </si>
  <si>
    <t xml:space="preserve">1 muro </t>
  </si>
  <si>
    <t>2 muro construido</t>
  </si>
  <si>
    <t>7 muros</t>
  </si>
  <si>
    <t>22 equipos de iluminación</t>
  </si>
  <si>
    <t>66 equipos de iluminación</t>
  </si>
  <si>
    <t>Número de equipos de iluminación instalados</t>
  </si>
  <si>
    <t>Conocer el número de equipos de iluminación que serán instalados.</t>
  </si>
  <si>
    <t>(TEII / TEIP) *100</t>
  </si>
  <si>
    <t>0 equipos de iluminación instalados</t>
  </si>
  <si>
    <t>11 equipos de iluminación</t>
  </si>
  <si>
    <t>19 equipos de iluminación instalados</t>
  </si>
  <si>
    <t>35 obras</t>
  </si>
  <si>
    <t>90 obras</t>
  </si>
  <si>
    <t>Número de obras de captación y distribución de agua potable</t>
  </si>
  <si>
    <t>Conocer el número de obras construidas para una mejor cobertura de agua potable.</t>
  </si>
  <si>
    <t>(TOCDAPR / TOCDAPP) *100</t>
  </si>
  <si>
    <t>51 obras</t>
  </si>
  <si>
    <t>0 obras de captación y distribución de agua potable realizadas</t>
  </si>
  <si>
    <t>74 obras de captación y distribución de agua potable</t>
  </si>
  <si>
    <t>160 obras</t>
  </si>
  <si>
    <t>7 obras</t>
  </si>
  <si>
    <t>14 obras</t>
  </si>
  <si>
    <t>Obras adicionales de electrificación realizadas en colonias de alta marginación</t>
  </si>
  <si>
    <t>Conocer la cantidad de obras nuevas para la electrificación de colonias.</t>
  </si>
  <si>
    <t>(PER/OEP)*100</t>
  </si>
  <si>
    <t>Dirección de Atención Ciuadadana y Desarrollo Social</t>
  </si>
  <si>
    <t>31 Obras de electrificación</t>
  </si>
  <si>
    <t>2 acciones</t>
  </si>
  <si>
    <t>8 accionees</t>
  </si>
  <si>
    <t>24 acciones</t>
  </si>
  <si>
    <t>Número de acciones de rectificación y canalización de ríos y arroyos</t>
  </si>
  <si>
    <t>Conocer la cantidad de ríos y arroyos rectificados y canalizados.</t>
  </si>
  <si>
    <t>(RRAC / RPRAPC) *100</t>
  </si>
  <si>
    <t>22 ríos y arroyos rectificados o canalizados</t>
  </si>
  <si>
    <t>1 ríos y arroyos rectificados o canalizados</t>
  </si>
  <si>
    <t>37 acciones de rectificación y canalización de arroyos</t>
  </si>
  <si>
    <t>2830 horas máquina</t>
  </si>
  <si>
    <t>8500 horas máquina</t>
  </si>
  <si>
    <t>Horas máquina para canalización y encausamiento de arroyos en la zona rural</t>
  </si>
  <si>
    <t>Conocer la las horas máquina para la canalización y encausamiento de arroyos en la zona rural.</t>
  </si>
  <si>
    <t>(HMR / HMP) *100</t>
  </si>
  <si>
    <t>799 horas máquina</t>
  </si>
  <si>
    <t>3221  horas máquina</t>
  </si>
  <si>
    <t>5670 horas máquina</t>
  </si>
  <si>
    <t>12477  horas máquina</t>
  </si>
  <si>
    <t>250  m2</t>
  </si>
  <si>
    <t>1,000 m2</t>
  </si>
  <si>
    <t>3,000 m2</t>
  </si>
  <si>
    <t>Metros cuadrados de construcción de banquetas en colonias populares</t>
  </si>
  <si>
    <t>Conocer la cantidad de metros cuadrados construidos de nuevas banquetas construidas en colonias populares.</t>
  </si>
  <si>
    <t>(MCC / MCPC)*100</t>
  </si>
  <si>
    <t>2,099 metros construidos de banquetas en colonias populares</t>
  </si>
  <si>
    <t>13,907 metros construidos de banquetas en colonias populares</t>
  </si>
  <si>
    <t>4,110.06 metros construidos de banquetas en colonias populares</t>
  </si>
  <si>
    <t>2 canchas deportivas y de usos múltiples</t>
  </si>
  <si>
    <t>8 canchas deportivas y de usos múltiples</t>
  </si>
  <si>
    <t>24 canchas deportivas y de usos múltiples</t>
  </si>
  <si>
    <t>Número de espacios deportivos construidos y/o rehabilitados</t>
  </si>
  <si>
    <t>Conocer el número de nuevas canchas deportivas y de usos múltiples construidas.</t>
  </si>
  <si>
    <t>(CDC + CUMC)  /  TCDUM *100</t>
  </si>
  <si>
    <t>5.25 canchas deportivas y 3 de usos múltiples construidas (8.25 en total)</t>
  </si>
  <si>
    <t>5.88 canchas deportivas y 1.87 de usos múltiples construidas (7.75 en total)</t>
  </si>
  <si>
    <t>3 espacio deportivo</t>
  </si>
  <si>
    <t>21 canchas de usos múltiples</t>
  </si>
  <si>
    <t>1 centro comunitario</t>
  </si>
  <si>
    <t>4 centros comunitarios</t>
  </si>
  <si>
    <t>12 centros comunitarios</t>
  </si>
  <si>
    <t>Número de centros comunitarios construidos</t>
  </si>
  <si>
    <t>Conocer el número de nuevos centros comunitarios construidos.</t>
  </si>
  <si>
    <t>(CCC / CCPC) *100</t>
  </si>
  <si>
    <t>3 centros comunitarios construidos</t>
  </si>
  <si>
    <t>2.4 centros comunitarios construidos</t>
  </si>
  <si>
    <t>2 centros comunitarios</t>
  </si>
  <si>
    <t>12 centros comunitarios construidos</t>
  </si>
  <si>
    <t>50 m2</t>
  </si>
  <si>
    <t>200 m2</t>
  </si>
  <si>
    <t>600 m2</t>
  </si>
  <si>
    <t>Metros cuadrados construidos de escaleriado en colonias populares</t>
  </si>
  <si>
    <t>Conocer la cantidad de metros cuadrados de nuevos escaleriados construidos en colonias populares.</t>
  </si>
  <si>
    <t>(MCEC / MCEPC) *100</t>
  </si>
  <si>
    <t>0 metros construidos de escaleriados</t>
  </si>
  <si>
    <t>0 metros cuadrados de escaleriados</t>
  </si>
  <si>
    <t>1.58 puentes peatonales</t>
  </si>
  <si>
    <t>6.33 puentes peatonales</t>
  </si>
  <si>
    <t>20 puentes peatonales</t>
  </si>
  <si>
    <t>Número de puentes peatonales construidos</t>
  </si>
  <si>
    <t>Conocer el número de nuevos puentes peatonales construidos.</t>
  </si>
  <si>
    <t>(PPC / PPPC) *100</t>
  </si>
  <si>
    <t>3.2 puentes peatonales construidos</t>
  </si>
  <si>
    <t>3.85  puentes peatonales construidos</t>
  </si>
  <si>
    <t>9  puentes peatonales construidos</t>
  </si>
  <si>
    <t>2.5 puentes vehiculares</t>
  </si>
  <si>
    <t>10 puentes vehicular</t>
  </si>
  <si>
    <t>30 puentes vehiculares</t>
  </si>
  <si>
    <t>Número de puentes vehiculares nuevos construidos</t>
  </si>
  <si>
    <t>Conocer el número de puentes vehiculares construidos.</t>
  </si>
  <si>
    <t>(PVC / TPVPC) *100</t>
  </si>
  <si>
    <t>8 puentes vehiculares construidos</t>
  </si>
  <si>
    <t>4.68 puentes vehiculares construidos</t>
  </si>
  <si>
    <t xml:space="preserve">1 puente rehabilitado </t>
  </si>
  <si>
    <t>12 puentes vehiculares construidos/rehabilitados</t>
  </si>
  <si>
    <t>3 puentes</t>
  </si>
  <si>
    <t>Número de puentes vehiculares nuevos construidos en la zona rural</t>
  </si>
  <si>
    <t>Conocer el número de puentes vehiculares construidos en la zona rural.</t>
  </si>
  <si>
    <t>1 puente vehicular construido en la zona rural (Terrazas)</t>
  </si>
  <si>
    <t>6 puentes vehiculares construidos en la zona rural</t>
  </si>
  <si>
    <t>.42 pasos a desnivel</t>
  </si>
  <si>
    <t>1.67 pasos a desnivel</t>
  </si>
  <si>
    <t>5 pasos a desnivel</t>
  </si>
  <si>
    <t>Número de pasos a desnivel construidos</t>
  </si>
  <si>
    <t>Conocer el número de pasos a desnivel construidos, y el avance en su construcción.</t>
  </si>
  <si>
    <t>(PDC / PDPC) *100</t>
  </si>
  <si>
    <t>0.65 pasos a desnivel construidos</t>
  </si>
  <si>
    <t>3.98  pasos a desnivel construidos</t>
  </si>
  <si>
    <t>4  pasos a desnivel construidos</t>
  </si>
  <si>
    <t>7 km pavimentados</t>
  </si>
  <si>
    <t>27 km pavimentados</t>
  </si>
  <si>
    <t>80 km pavimentados</t>
  </si>
  <si>
    <t>Nuevos kilómetros pavimentados en caminos rurales</t>
  </si>
  <si>
    <t>Conocer el número de nuevos kilómetros pavimentados en caminos rurales.</t>
  </si>
  <si>
    <t>(KRP / TKRP) *100</t>
  </si>
  <si>
    <t>13.5 kilómetros pavimentados en caminos rurales</t>
  </si>
  <si>
    <t>10.99 kilómetros pavimentados de caminos rurales</t>
  </si>
  <si>
    <t>28.79  kilómetros pavimentados en caminos rurales</t>
  </si>
  <si>
    <t>2.5 vados</t>
  </si>
  <si>
    <t>15 vados</t>
  </si>
  <si>
    <t>32 vados</t>
  </si>
  <si>
    <t>Número de vados construidos</t>
  </si>
  <si>
    <t>Conocer el número de vados construidos.</t>
  </si>
  <si>
    <t>(TVC/ TVP) *100</t>
  </si>
  <si>
    <t>11 vados</t>
  </si>
  <si>
    <t>14 vados construidos</t>
  </si>
  <si>
    <t>10 vados construidos</t>
  </si>
  <si>
    <t>42 vados construidos</t>
  </si>
  <si>
    <t>1.6 pares viales</t>
  </si>
  <si>
    <t>6.3 pares viales</t>
  </si>
  <si>
    <t>19 pares viales</t>
  </si>
  <si>
    <t>Número de pares viales pavimentados</t>
  </si>
  <si>
    <t>Conocer la cantidad de pares viales pavimentados.</t>
  </si>
  <si>
    <t>(PVP / TPVP) *100</t>
  </si>
  <si>
    <t>0 pares viales pavimentados</t>
  </si>
  <si>
    <t>16,569 m2 pavimentados</t>
  </si>
  <si>
    <t>66, 277 m2 pavimentados</t>
  </si>
  <si>
    <t>198,832 m2 pavimentados</t>
  </si>
  <si>
    <t>Metros cuadrados pavimentados en rutas integradoras de transporte público</t>
  </si>
  <si>
    <t>Conocer el número de metros cuadrados con pavimento rígido en rutas integradoras de transporte público.</t>
  </si>
  <si>
    <t>(M2P / M2PP) *100</t>
  </si>
  <si>
    <t>0 metros cuadrados pavimentados en rutas integradoras de transporte público</t>
  </si>
  <si>
    <t>35 metros cuadrados pavimentados en rutas integradoras de transporte público</t>
  </si>
  <si>
    <t>140m2</t>
  </si>
  <si>
    <t>12,986.66 metros cuadrados pavimentados en rutas integradoras de transporte público</t>
  </si>
  <si>
    <t>0.88 vialidades</t>
  </si>
  <si>
    <t>3.5 vialidades</t>
  </si>
  <si>
    <t>7 vialidades</t>
  </si>
  <si>
    <t>Número de nuevas vialidades principales pavimentadas en el municipio</t>
  </si>
  <si>
    <t xml:space="preserve">Conocer el número de nuevas vialidades principales pavimentadas en el Municipio. </t>
  </si>
  <si>
    <t>(NVPR / NVPP) *100</t>
  </si>
  <si>
    <t>0 vialidades principales pavimentadas</t>
  </si>
  <si>
    <t>.89  vialidades principales pavimentadas</t>
  </si>
  <si>
    <t>1 vialidades principales pavimentadas</t>
  </si>
  <si>
    <t>4 automotores</t>
  </si>
  <si>
    <t>Número de automotores adquiridos para labores de mantenimiento y obra pública</t>
  </si>
  <si>
    <t>Conocer el número de vehículos nuevos adquiridos para labores de mantenimiento y obra pública.</t>
  </si>
  <si>
    <t>(VLA + EPA) / VLPA  *100</t>
  </si>
  <si>
    <t>0 automotores adquiridos para labores de mantenimiento y obra pública</t>
  </si>
  <si>
    <t>4 automotores adquiridos para labores de mantenimiento y obra pública</t>
  </si>
  <si>
    <t>N/A por ser de frecuencia trianual</t>
  </si>
  <si>
    <t>3 vialidades</t>
  </si>
  <si>
    <t>10 vialidades</t>
  </si>
  <si>
    <t>Vialidades urbanas regeneradas de forma integral</t>
  </si>
  <si>
    <t>Conocer el número de vialidades urbanas que han sido regeneradas de manera integral a través de reposición completa de pavimento, modificación de banquetas, camellones, líneas de teléfono y cable, subterráneas, reforestación y/o equipamiento urbano.</t>
  </si>
  <si>
    <t>(VUR / VUPR) *100</t>
  </si>
  <si>
    <t>11 vialidades urbanas regeneradas en forma integral</t>
  </si>
  <si>
    <t>0 vialidades</t>
  </si>
  <si>
    <t>34 vialidades urbanas regeneradas en forma integral</t>
  </si>
  <si>
    <t>37 señales</t>
  </si>
  <si>
    <t>150 señales</t>
  </si>
  <si>
    <t>450 señales</t>
  </si>
  <si>
    <t>Número de señales instauradas en calles y vialidades</t>
  </si>
  <si>
    <t>Conocer el número de señales para nomenclatura instauradas de calles y vialidades.</t>
  </si>
  <si>
    <t>(SCVI/SCPI)*100</t>
  </si>
  <si>
    <t>936 señales instauradas (es el acumulado a diciembre de 2014)</t>
  </si>
  <si>
    <t>936 señales instauradas</t>
  </si>
  <si>
    <t>33 millones</t>
  </si>
  <si>
    <t>100 millones</t>
  </si>
  <si>
    <t>Recursos destinados para rehabilitación y mantenimiento de espacios públicos</t>
  </si>
  <si>
    <t>Verificar que se destinen los recursos programados para aumentar los recursos conforme años anteriores.</t>
  </si>
  <si>
    <t>(RRMA / RRMP) * 100</t>
  </si>
  <si>
    <t>72.82 millones de pesos aplicados para rehabilitación y mantenimiento de espacios públicos</t>
  </si>
  <si>
    <t>22.41 millones</t>
  </si>
  <si>
    <t>4.8 millones</t>
  </si>
  <si>
    <t>100.3 millones de pesos aplicados para rehabilitación y mantenimiento de espacios públicos</t>
  </si>
  <si>
    <t>2 destilichaderos</t>
  </si>
  <si>
    <t>4 destilichaderos</t>
  </si>
  <si>
    <t>Eventos de Destilichadero realizados</t>
  </si>
  <si>
    <t>1 destilichadero</t>
  </si>
  <si>
    <t>3 destilichaderos</t>
  </si>
  <si>
    <t>1 parque-área pública</t>
  </si>
  <si>
    <t>4 parques-áreas públicas</t>
  </si>
  <si>
    <t>12 parques-áreas públicas</t>
  </si>
  <si>
    <t>Número de parques y áreas públicas construidas y/o rehabilitadas</t>
  </si>
  <si>
    <t>Conocer la cantidad de parques y áreas públicas construidas y/o rehabilitadas.</t>
  </si>
  <si>
    <t>(PAPC + PAPR) / PAPCR  *100</t>
  </si>
  <si>
    <t>4 parques-áreas públicas construidas y 2.5 parques-áreas públicas rehabilitadas</t>
  </si>
  <si>
    <t>3.68 parques-áreas públicas construidas y 10.9 parques-áreas públicas rehabilitadas (14.58 en total)</t>
  </si>
  <si>
    <t>55 áreas públicas construidas y rehabilitadas</t>
  </si>
  <si>
    <t>5 áreas emblemáticas</t>
  </si>
  <si>
    <t>15 áreas emblemáticas</t>
  </si>
  <si>
    <t>Número de áreas emblemáticas de la ciudad rehabilitadas y/o con mantenimiento</t>
  </si>
  <si>
    <t>Conocer el número de áreas emblemáticas de la ciudad rehabilitadas y/o con mantenimiento.</t>
  </si>
  <si>
    <t>( AEMR / AEPM ) * 100</t>
  </si>
  <si>
    <t xml:space="preserve">5 áreas emblemáticas de la ciudad rehabilitadas </t>
  </si>
  <si>
    <t xml:space="preserve">9 áreas emblemáticas de la ciudad rehabilitadas </t>
  </si>
  <si>
    <t>11 áreas emblemáticas</t>
  </si>
  <si>
    <t xml:space="preserve">45 áreas emblemáticas de la ciudad rehabilitadas </t>
  </si>
  <si>
    <t>1 programa</t>
  </si>
  <si>
    <t>Programas creados de concientización ciudadana para respeto de espacios públicos</t>
  </si>
  <si>
    <t>Verificar que se creen programas para beneficio de los espacios públicos y equipamiento urbano.</t>
  </si>
  <si>
    <t>(PCCR / PCPR) * 100</t>
  </si>
  <si>
    <t>1 programa de concientización ciudadana para respeto de espacios públicos creados</t>
  </si>
  <si>
    <t>0 programas</t>
  </si>
  <si>
    <t>1 programas</t>
  </si>
  <si>
    <t>3 programa de concientización ciudadana para respeto de espacios públicos creados</t>
  </si>
  <si>
    <t>1 protocolos de seguridad</t>
  </si>
  <si>
    <t>3 protocolos de seguridad</t>
  </si>
  <si>
    <t>Número de protocolos de seguridad con perspectiva de género atendidos</t>
  </si>
  <si>
    <t>Conocer el número de protocolos de seguridad con perspectiva de género atendidos en los espacios públicos.</t>
  </si>
  <si>
    <t>(PA / PPA) *100</t>
  </si>
  <si>
    <t>1 protocolos de seguridad con perspectiva de género atendidos.</t>
  </si>
  <si>
    <t>0 protocolos de seguridad atendidos</t>
  </si>
  <si>
    <t>Instituto Municipal de Planeación</t>
  </si>
  <si>
    <t>16 actividades</t>
  </si>
  <si>
    <t>Elaboración de los programas parciales de subcentros sur poniente y suroriente</t>
  </si>
  <si>
    <t>Conocer el avance en la creación de los programas parciales de los subcentros.</t>
  </si>
  <si>
    <t>((ASP2+ASP3+ASP4+ASP5+ASP6+ASP7+ASP8+ASO1+ASO2+ASO3+ASO4+ASO5+ASO7+ASO6+ASO8+ASP1)/TAP)*100</t>
  </si>
  <si>
    <t>7 actividades para la elaboración de los programas parciales de subcentros sur poniente y sur oriente</t>
  </si>
  <si>
    <t>3 actividades (normativo p.p. subcentro surponiente y programas e instrumentación p.p. subcentor surponiente</t>
  </si>
  <si>
    <t>2 talleres y/o concursos</t>
  </si>
  <si>
    <t>6 talleres y/o concursos</t>
  </si>
  <si>
    <t>Número de talleres y concursos realizados para la creación de un banco de proyectos urbanos</t>
  </si>
  <si>
    <t>Conocer el número de talleres y/o concursos realizados para la creación de un banco de proyectos urbanos.</t>
  </si>
  <si>
    <t>(TTP + TPPF + CVM + TC4 + TC5 + TC6) / TTCP *100</t>
  </si>
  <si>
    <t>0 talleres y/o concursos realizados para la creación del banco de proyectos urbanos.</t>
  </si>
  <si>
    <t>4 talleres/concursos realizados para la creación del banco de proyectos urbanos (Fachadas Hotel del Real, Río Chuviscar, Reto Tec Proyecto Acueducto y Conexión Movilidad Alternativa UTCH 1)</t>
  </si>
  <si>
    <t>3 estudios</t>
  </si>
  <si>
    <t>9 estudios</t>
  </si>
  <si>
    <t>Estudios realizados sobre los polígonos con mayor rezago social en la ciudad</t>
  </si>
  <si>
    <t>Conocer el número de estudios realizados acerca de los polígonos con mayor rezago en la ciudad.</t>
  </si>
  <si>
    <t>(PM01+PM02+PM03+PM04+PM05+PM06+PM07+PM08+PM09+PM10+PM11+PM12)/ TEPR *100</t>
  </si>
  <si>
    <t>3 estudios realizados sobre los polígonos con mayor rezago social en la ciudad.</t>
  </si>
  <si>
    <t>1 estudio</t>
  </si>
  <si>
    <t>7 estudios realizados sobre los polígonos con mayor rezago social en la ciudad.</t>
  </si>
  <si>
    <t>Elaboración de proyecto para la consolidación del acueducto colonial</t>
  </si>
  <si>
    <t>Conocer el avance en la creación del proyecto para la consolidación del acueducto.</t>
  </si>
  <si>
    <t>(CPAC + PAAC + PEAC + CCPA ) / TACU * 100</t>
  </si>
  <si>
    <t>1 actividad para la elaboración de proyecto para la consolidación del acueducto colonial (conceptualización del proyecto acueducto)</t>
  </si>
  <si>
    <t>1 actividad (proyecto arquitectónico acueducto)</t>
  </si>
  <si>
    <t>2 actividades (Proyecto ejecutivo Acueducto, Catalogo de conceptos Proyecto Acueducto)</t>
  </si>
  <si>
    <t>4 actividades (conceptualización del proyecto acueducto, proyecto arquitectónico acueducto, Proyecto ejecutivo Acueducto, y Catalogo de conceptos Proyecto Acueducto)</t>
  </si>
  <si>
    <t>12 actividades</t>
  </si>
  <si>
    <t>Elaboración del programa sectorial de movilidad metropolitana sostenible</t>
  </si>
  <si>
    <t>Conocer la cantidad de estudios y programas realizados para la movilidad vial.</t>
  </si>
  <si>
    <t>((CPS+GPRT2+GPRT3+GPART1+ESRT2+ESRT3+ESART1+PART2+PART3+PAART1+PERT2+PERT3+PEART1)/ TAMM) *100</t>
  </si>
  <si>
    <t>1 actividad para la elaboración del programa sectorial de movilidad metropolitana sostenible (conceptualización)</t>
  </si>
  <si>
    <t xml:space="preserve">5 estudios </t>
  </si>
  <si>
    <t>12 actividad para la elaboración del programa sectorial de movilidad metropolitana sostenible</t>
  </si>
  <si>
    <t>3 proyectos</t>
  </si>
  <si>
    <t>5 proyectos</t>
  </si>
  <si>
    <t>Desarrollo de proyectos de parques lineales</t>
  </si>
  <si>
    <t>Conocer la cantidad de proyectos realizados para parques lineales sobre los arroyos El Picacho, Los Arcos, Los Nogales Sur, El Barro y El Mimbre.</t>
  </si>
  <si>
    <t>(PCAP+PCAA+PCAM+PCANS+PCAB) / TPPL * 100</t>
  </si>
  <si>
    <t>2 proyectos</t>
  </si>
  <si>
    <t>2 proyectos de parques lineales desarrollados</t>
  </si>
  <si>
    <t>0 proyectos</t>
  </si>
  <si>
    <t>1 proyecto</t>
  </si>
  <si>
    <t>1 proyecto de parques lineales desarrollados</t>
  </si>
  <si>
    <t>4 proyectos de parques lineales desarrollados</t>
  </si>
  <si>
    <t>8 proyectos</t>
  </si>
  <si>
    <t>Elaboración de proyectos de imagen urbana y espacios públicos</t>
  </si>
  <si>
    <t>Conocer la cantidad de proyectos realizados de imagen urbana sobre corredores troncales del sistema de transporte público.</t>
  </si>
  <si>
    <t>(PEPM+PEPS+PEPT+PEP4+PEP5+PEP6+PEP7+PEP8+PEP9) / PIUP * 100</t>
  </si>
  <si>
    <t>2 proyectos de imagen urbana y espacios públicos realizados (proyecto ejecutivo plaza merino, plaza San Francisco)</t>
  </si>
  <si>
    <t>6 proyecto de imagen urbana y espacios públicos realizado (proyecto regeneración Teófilo Borunda, Parque Batalla Tres Castillos, Parque Vallina, Parque Urueta, Parque Agustín Melgar, Espacio Venustiano Carranza)</t>
  </si>
  <si>
    <t>3 Proyectos (Plaza Ignacio Zaragoza (Templo de San Francisco))</t>
  </si>
  <si>
    <t>8 proyectos de imagen urbana y espacios públicos realizados</t>
  </si>
  <si>
    <t>Diseño del programa maestro tres presas</t>
  </si>
  <si>
    <t>Conocer el avance en el diseño del programa Maestro Tres Presas.</t>
  </si>
  <si>
    <t>(CPM + GPM + DPM + EPM + PIPM + AVPM) / TATP *100</t>
  </si>
  <si>
    <t>4 actividades realizadas para el diseño del programa maestro 3 presas</t>
  </si>
  <si>
    <t>1 actividad (programas e instrumentación programa maestro tres presas)</t>
  </si>
  <si>
    <t>0 Proyectos y programas para consolidación del área ambiental de las tres presas</t>
  </si>
  <si>
    <t>5 actividades realizadas para el diseño del programa maestro 3 presas</t>
  </si>
  <si>
    <t>Programa maestro de integración al desarrollo norte</t>
  </si>
  <si>
    <t>Conocer el avance en la elaboración del Programa Maestro  de Integración al Desarrollo Norte.</t>
  </si>
  <si>
    <t>(CPMN + GPMN + DPMN + EPMN + PIMN + AVMN ) / TARI * 100</t>
  </si>
  <si>
    <t>1 actividad realizada para el programa maestro de integración al desarrollo norte (Conceptualización)</t>
  </si>
  <si>
    <t>1 actividad (Gestión)</t>
  </si>
  <si>
    <t>3 actividad realizada para el programa maestro de integración al desarrollo norte (Diagnostico, Estrategia y Programas )</t>
  </si>
  <si>
    <t>5 actividad realizada para el programa maestro de integración al desarrollo norte (Conceptualización , gestión,  diagnostico, estrategias y programas )</t>
  </si>
  <si>
    <t>Elaboración del programa maestro del polígono de San Felipe</t>
  </si>
  <si>
    <t>Conocer el avance en la creación del Programa Maestro del Polígono de San Felipe.</t>
  </si>
  <si>
    <t>(CPM + GPM + DPM + EPM + PIPM + AVPM) / TASF  *100</t>
  </si>
  <si>
    <t>5 actividades realizadas para la elaboración del programa maestro del polígono San Felipe</t>
  </si>
  <si>
    <t>Elaboración del programa maestro del Río Sacramento</t>
  </si>
  <si>
    <t>Conocer el avance en la elaboración del Programa Maestro del Río Sacramento</t>
  </si>
  <si>
    <t>(CPM + GPM+ DPM + EPM + PIPM + AVPM) / TAPR  *100</t>
  </si>
  <si>
    <t>3 actividades para elaboración del programa maestro del rio sacramento</t>
  </si>
  <si>
    <t>1 actividades para elaboración del programa maestro del rio sacramento</t>
  </si>
  <si>
    <t>5 actividades para elaboración del programa maestro del rio sacramento</t>
  </si>
  <si>
    <t>8 actividades</t>
  </si>
  <si>
    <t>Elaboración del programa parcial de integración al desarrollo Ranchería Juárez Sur</t>
  </si>
  <si>
    <t>Conocer el avance en la elaboración del Programa Parcial de Integración al Desarrollo Ranchería Juárez Sur.</t>
  </si>
  <si>
    <t>(CPP + GPP + APP + FPP + DPP + EPP + NPP + PIPP + SPP + AVPP)   / TARJ  *100</t>
  </si>
  <si>
    <t>1 actividad para elaboración del programa parcial de integración al desarrollo ranchería Juárez</t>
  </si>
  <si>
    <t>4 actividades ( Gestión, Antecedentes, Fundamentación y Diagnóstico)</t>
  </si>
  <si>
    <t>3 actividad para elaboración del programa parcial de integración al desarrollo ranchería Juárez (estrategia, normativo y programas)</t>
  </si>
  <si>
    <t>8 actividad para elaboración del programa parcial de integración al desarrollo ranchería Juárez (Conceptualización, Gestión, Antecedentes, Fundamentación,  Diagnóstico , estrategia, normativo y programas)</t>
  </si>
  <si>
    <t>4 estudios, proyectos e investigaciones</t>
  </si>
  <si>
    <t>16 estudios, proyectos e investigaciones</t>
  </si>
  <si>
    <t>48 estudios, proyectos, e investigaciones</t>
  </si>
  <si>
    <t>Número de estudios, proyectos e investigaciones de obra pública realizados</t>
  </si>
  <si>
    <t>Conocer el número de estudios, proyectos e investigaciones realizados para beneficio de la obra pública.</t>
  </si>
  <si>
    <t>(EOPR + POPR + IOPR) / EP *100</t>
  </si>
  <si>
    <t>2 estudios</t>
  </si>
  <si>
    <t>5.5 estudios, 4.5 proyectos y 2 investigación de obra pública realizados (12 en total)</t>
  </si>
  <si>
    <t>1  proyecto y 1 estudio</t>
  </si>
  <si>
    <t>41 proyectos y estudios</t>
  </si>
  <si>
    <t>Elaboración de proyecto para reacondicionar el mercado popular</t>
  </si>
  <si>
    <t>Conocer el avance en la creación del proyecto para reacondicionamiento del Mercado Popular.</t>
  </si>
  <si>
    <t>(CPMP + PAMP + PEMP + CCPM) / TAMP  *100</t>
  </si>
  <si>
    <t>Proyecto para reacondicionar el mercado popular TERMINADO</t>
  </si>
  <si>
    <t>4 actividades realizadas (proyecto para acondicionar el mercado popular terminado)</t>
  </si>
  <si>
    <t>0.25 espacios</t>
  </si>
  <si>
    <t>1 espacio</t>
  </si>
  <si>
    <t>Nuevos espacios creados y/o regenerados en el mercado popular chihuahua</t>
  </si>
  <si>
    <t>Conocer los nuevos espacios creados y/o generados en el mercado popular.</t>
  </si>
  <si>
    <t>(ECR / EP) * 100</t>
  </si>
  <si>
    <t>1 espacios creados y/o regenerados</t>
  </si>
  <si>
    <t>1 espacio creado y/o regenerado</t>
  </si>
  <si>
    <t>Actualización del Plan de Desarrollo Urbano</t>
  </si>
  <si>
    <t>Conocer el avance en la actualización al Plan de Desarrollo Urbano del Centro de Población Chihuahua Visión 2040.</t>
  </si>
  <si>
    <t>(CAP + GAP + AAP + FAP + DAP + EAP + NAP + PIAP + SAP + AVAP)  / TADU  *100</t>
  </si>
  <si>
    <t>1 actividad para actualización del plan de desarrollo urbano</t>
  </si>
  <si>
    <t>4 actividades (Gestión, Antecedentes, Fundamentos y Diagnóstico)</t>
  </si>
  <si>
    <t>3 actividad (estrategia, normativo y programas)</t>
  </si>
  <si>
    <t>8 actividades (Conceptualización, Gestión, Antecedentes, Fundamentos, Diagnóstico, estrategia, normativo y programas)</t>
  </si>
  <si>
    <t>Creación de un organismo gestor de suelo municipal</t>
  </si>
  <si>
    <t>Conocer el avance de las acciones que fomenten la creación del organismo gestor del suelo municipal.</t>
  </si>
  <si>
    <t>(CGCA + MFRM + MFIN + MLRM + MCS + ESO + IOGS) / TASM *100</t>
  </si>
  <si>
    <t>1 actividad realizada para la creación de un organismo gestor del suelo municipal.</t>
  </si>
  <si>
    <t>1 actividad (marco funcional de reservas municipales)</t>
  </si>
  <si>
    <t xml:space="preserve">4 Actividades </t>
  </si>
  <si>
    <t>6 actividades realizadas para la creación de un organismo gestor del suelo municipal.</t>
  </si>
  <si>
    <t>Consolidación del observatorio urbano</t>
  </si>
  <si>
    <t>Conocer el avance en consolidación del Observatorio Urbano.</t>
  </si>
  <si>
    <t>(RIOU + GIOU + AIOU + DROU + SIOU) / TAOC *100</t>
  </si>
  <si>
    <t>1 actividad realizada para consolidación del observatorio urbano</t>
  </si>
  <si>
    <t>4 actividades (gestión de información,actualización de indicadores,  difusión de resultados, seguimiento e investigación)</t>
  </si>
  <si>
    <t xml:space="preserve">0 Actividades </t>
  </si>
  <si>
    <t>5 actividades (Revisión de indicadores, gestión de información, actualización de indicadores, difusión de resultados, seguimiento e investigación)</t>
  </si>
  <si>
    <t>Elaboración de Programa de Ordenamiento de la Zona Metropolitana</t>
  </si>
  <si>
    <t>Conocer el avance en la elaboración del Programa de Ordenamiento de la Zona Metropolitana.</t>
  </si>
  <si>
    <t>(CPO + GPO + APO + FPO + DPO + EPO + NPO + PIPO + SPO + AVPO) / TAZM *100</t>
  </si>
  <si>
    <t>3 actividades realizadas para la elaboración del programa de ordenamiento de la zona metropolitana</t>
  </si>
  <si>
    <t>8 actividades realizadas para la elaboración del programa de ordenamiento de la zona metropolitana</t>
  </si>
  <si>
    <t>237 proyectos ejecutivos de imagen de fachada</t>
  </si>
  <si>
    <t>452 proyectos ejecutivos de imagen de fachada</t>
  </si>
  <si>
    <t>Consolidación del Programa de Ordenamiento de la Zona Metropolitana</t>
  </si>
  <si>
    <t>Conocer el número de proyectos ejecutivos de imagen de fachadas para la consolidación del programa del Imagen Urbana de la Zona Centro.</t>
  </si>
  <si>
    <t>(PEFR / PEFP) *100</t>
  </si>
  <si>
    <t>237 proyectos ejecutivos de imagen de fachadas realizados</t>
  </si>
  <si>
    <t>516 proyectos ejecutivos de imagen de fachadas realizados</t>
  </si>
  <si>
    <t xml:space="preserve">0 Proyectos ejecutivos </t>
  </si>
  <si>
    <t>753 proyectos ejecutivos de imagen de fachadas realizados</t>
  </si>
  <si>
    <t>1 proyecto ejecutivo de conjunto habitacional</t>
  </si>
  <si>
    <t>3 proyecto ejecutivo de conjunto habitacional</t>
  </si>
  <si>
    <t>Desarrollo de proyectos detonadores de vivienda en la zona centro</t>
  </si>
  <si>
    <t>Conocer la cantidad de proyectos desarrollados para vivienda en la zona centro.</t>
  </si>
  <si>
    <t>(PEHR / PEHP) *100</t>
  </si>
  <si>
    <t>0 proyectos ejecutivos de conjunto habitacional realizados</t>
  </si>
  <si>
    <t>1 proyecto ejecutivo de conjunto habitacional realizado</t>
  </si>
  <si>
    <t>2 proyecto ejecutivo de conjunto habitacional realizado</t>
  </si>
  <si>
    <t>3 proyecto ejecutivo de conjunto habitacional realizado</t>
  </si>
  <si>
    <t>Desarrollo del proyecto para regeneración del Paseo Bolívar</t>
  </si>
  <si>
    <t>Conocer el avance en la realización del proyecto de regeneración del Paseo Bolívar.</t>
  </si>
  <si>
    <t>(CPPB + PAPB + PEPB + CCPP) / TARP *100</t>
  </si>
  <si>
    <t>Proyecto para regeneración del paseo bolívar TERMINADO</t>
  </si>
  <si>
    <t>4 actividades realizadas (proyecto para regeneración del paseo bolívar terminado)</t>
  </si>
  <si>
    <t>Desarrollo de modelo de incentivos para la densificación en el centro urbano, subcentros y corredores de movilidad</t>
  </si>
  <si>
    <t>Conocer el avance en la elaboración del modelo de incentivos municipales otorgados a las acciones urbanas para la densificación.</t>
  </si>
  <si>
    <t>(CID + DID + GID + IID + VLID + SPID) / TAAU *100</t>
  </si>
  <si>
    <t>1 actividad realizada para el desarrollo del modelo de incentivos para densificación en el centro urbano</t>
  </si>
  <si>
    <t>5 actividades (diseño, gestión, implementación de incentivos, vigencia legal y seguimiento)</t>
  </si>
  <si>
    <t xml:space="preserve">0 Actividades , meta cumplida </t>
  </si>
  <si>
    <t xml:space="preserve">6 actividades realizadas para el desarrollo del modelo de incentivos para densificación en el centro urbano (Conceptualización, diseño, gestión, implementación de incentivos, vigencia legal y seguimiento) </t>
  </si>
  <si>
    <t>24 actividades</t>
  </si>
  <si>
    <t>Desarrollo del proyecto de peatonalización de calles Morelos, Allende, Trías y Doblado</t>
  </si>
  <si>
    <t>Conocer el avance en el desarrollo del proyecto de peatonalización de las calles Morelos, Allende, Trías y Doblado.</t>
  </si>
  <si>
    <t>(CPM1 + CPM2 + CPA1 + CPA2 + CPD + CPT + PAM1 + PAM2 + PAA1 + PAA2 + PAD + PAT + PEM1 + PEM2 + PEA1 + PEA2 + PED + PET + CPM1 + CPM2 + CPA1 + CPA2 + CCPD + CCPT)  / TAPP  *100</t>
  </si>
  <si>
    <t>6 actividades realizadas para el proyecto de peatonalización en calles Morelos, Allende, Trías y Doblado.</t>
  </si>
  <si>
    <t>18 actividades</t>
  </si>
  <si>
    <t>62,500 m2</t>
  </si>
  <si>
    <t>250,000 m2</t>
  </si>
  <si>
    <t>750,000 m2</t>
  </si>
  <si>
    <t>Metros cuadrados pavimentados con concreto hidráulico sin costo</t>
  </si>
  <si>
    <t>Conocer el numero de metros cuadrados pavimentados con concreto hidráulico en colonias populares, sin costo.</t>
  </si>
  <si>
    <t>(MPCH / TMPH) *100</t>
  </si>
  <si>
    <t>187,217.57 m2 pavimentados con concreto hidráulico sin costo.</t>
  </si>
  <si>
    <t>111338.5  metros cuadrados con concreto hidráulico pavimentados</t>
  </si>
  <si>
    <t>19 reuniones informativas</t>
  </si>
  <si>
    <t>75 reuniones informativas</t>
  </si>
  <si>
    <t>225 reuniones informativas</t>
  </si>
  <si>
    <t>Número de reuniones informativas realizadas a través del programa socialización de obra</t>
  </si>
  <si>
    <t>Conocer el numero de reuniones informativas realizadas a través del programa de socialización de obra.</t>
  </si>
  <si>
    <t>(RIR / RIP) *100</t>
  </si>
  <si>
    <t>33 reuniones informativas</t>
  </si>
  <si>
    <t>66 reuniones informativas</t>
  </si>
  <si>
    <t>250 visitas</t>
  </si>
  <si>
    <t>1,000 visitas</t>
  </si>
  <si>
    <t>3,00 visitas</t>
  </si>
  <si>
    <t>Número de visitas domiciliarias</t>
  </si>
  <si>
    <t>Conocer el numero de visitas realizadas a los domicilios para establecer acuerdos con vecinos y renovar sus tomas y descargas hidrosanitarias a fin de lograr una reducción de futuros gastos en proyectos de pavimentación.</t>
  </si>
  <si>
    <t>(VDR / VDP) *100</t>
  </si>
  <si>
    <t>295 visitas.</t>
  </si>
  <si>
    <t>2178  visitas</t>
  </si>
  <si>
    <t>100,000 m2</t>
  </si>
  <si>
    <t>300,000 m2</t>
  </si>
  <si>
    <t>Número de metros cuadrados pavimentados por esquema de cooperación</t>
  </si>
  <si>
    <t>Conocer el número de metros cuadrados  pavimentados bajo el esquema de obras de urbanización, por cooperación.</t>
  </si>
  <si>
    <t>(MPEC / TMPC) *100</t>
  </si>
  <si>
    <t>51,911.38 m2 pavimentados por esquema de recuperación.</t>
  </si>
  <si>
    <t>0 metros cuadrados pavimentados por esquema de cooperación</t>
  </si>
  <si>
    <t>6070.06 m2 pavimentados por esquema de cooperación</t>
  </si>
  <si>
    <t>3 mecanismos</t>
  </si>
  <si>
    <t xml:space="preserve">9 mecanismos </t>
  </si>
  <si>
    <t>Número de mecanismos implementados para mejora de recaudación en proyectos de pavimentación</t>
  </si>
  <si>
    <t>Conocer el número de mecanismos implementados que ayuden a mantener activa la participación de los ciudadanos para programas de pavimentación.</t>
  </si>
  <si>
    <t>(MRIR / MRPP) *100</t>
  </si>
  <si>
    <t>3 mecanismos implementados para mejorar recaudación en proyectos de pavimentación</t>
  </si>
  <si>
    <t>4 mecanismo de recaudación implementados</t>
  </si>
  <si>
    <t>2 mecanismo de recaudación implementado</t>
  </si>
  <si>
    <t>9 mecanismos implementados para mejorar recaudación en proyectos de pavimentación</t>
  </si>
  <si>
    <t>3 esquemas de financiamiento</t>
  </si>
  <si>
    <t>Nuevos esquemas de financiamiento y cooperación para obras de pavimentación</t>
  </si>
  <si>
    <t>Conocer los nuevos esquemas de financiamiento implementados que contribuyan a la cooperación para obras de pavimentación.</t>
  </si>
  <si>
    <t>(EFYC / EFYP) *100</t>
  </si>
  <si>
    <t>5 nuevos esquemas de financiamiento y cooperación para obras de pavimentación</t>
  </si>
  <si>
    <t>5 nuevos esquemas de financiamiento y cooperación para obras de pavimentación IMPLEMENTADOS</t>
  </si>
  <si>
    <t>785 estudios de factibilidad</t>
  </si>
  <si>
    <t>3,138 estudios de factibilidad</t>
  </si>
  <si>
    <t>9416 estudios de factibilidad</t>
  </si>
  <si>
    <t>Número de estudios de factibilidad realizados a prospectos de pavimentación por cooperación</t>
  </si>
  <si>
    <t>Conocer el número de estudios de factibilidad realizados a prospectos de pavimentación por cooperación.</t>
  </si>
  <si>
    <t>(EFRR / EFPP) *100</t>
  </si>
  <si>
    <t>3,653 estudios de factibilidad realizados a prospectos de pavimentación</t>
  </si>
  <si>
    <t>El indicador se da de baja por solicitud del consejo de urbanización</t>
  </si>
  <si>
    <t>Elaboración del plan de acción climática con perspectiva de género</t>
  </si>
  <si>
    <t>Conocer el avance en la elaboración del Plan de Acción Climática  con perspectiva de género en el Municipio.</t>
  </si>
  <si>
    <t>( RDAN + TERE + GERE + COEM + PREP ) / TARP * 100</t>
  </si>
  <si>
    <t>2 guardianes ecológicos capacitados</t>
  </si>
  <si>
    <t>6 guardianes ecológicos capacitados</t>
  </si>
  <si>
    <t>Número de guardianes ecológicos incorporados y capacitados</t>
  </si>
  <si>
    <t>Conocer el incremento en el número de guardianes ecológicos capacitados.</t>
  </si>
  <si>
    <t>( GEAC / GEIC ) * 100</t>
  </si>
  <si>
    <t xml:space="preserve">0 guardianes ecológicos </t>
  </si>
  <si>
    <t>1 guardianes ecológicos incorporados y capacitados</t>
  </si>
  <si>
    <t>18 guardianes ecológico incorporado</t>
  </si>
  <si>
    <t xml:space="preserve">18 guardianes ecológicos </t>
  </si>
  <si>
    <t>90% de denuncias atendidas</t>
  </si>
  <si>
    <t>Denuncias ciudadanas urbano-ambiental atendidas</t>
  </si>
  <si>
    <t>Conocer el número de denuncias ciudadanas urbano-ambiental atendidas.</t>
  </si>
  <si>
    <t>( DCA / DCR ) * 100</t>
  </si>
  <si>
    <t>100% de solicitudes atendidas (863 recibidas y 863 atendidas)</t>
  </si>
  <si>
    <t>100% de solicitudes atendidas (1425 denuncias recibidas y 1425 atendidas)</t>
  </si>
  <si>
    <t>100% 
424 solicitudes recibidas y atendidas</t>
  </si>
  <si>
    <t>4actividades</t>
  </si>
  <si>
    <t>Creación del fondo de protección al ambiente.</t>
  </si>
  <si>
    <t>Conocer el avance en la creación del Fondo de Protección al Ambiente.</t>
  </si>
  <si>
    <t>( TREF + CODE + CRDO + PFON ) / TACF * 100</t>
  </si>
  <si>
    <t>2 actividades (términos de referencia y consulta de dependencias)</t>
  </si>
  <si>
    <t>1 actividad (creación del documento)</t>
  </si>
  <si>
    <t>3 actividades (términos de referencia, consulta de dependencias y creación del documento)</t>
  </si>
  <si>
    <t>Implementación del plan de manejo de residuos de demolición y construcción</t>
  </si>
  <si>
    <t>Conocer el avance en la implementación del Plan de Manejo de Residuos de Demolición y Construcción.</t>
  </si>
  <si>
    <t>( PERS + PEAD + PESO + PELE + PEPO + MRAS) / TARIP * 100</t>
  </si>
  <si>
    <t>6 actividades realizadas (Plan de Manejo de Residuos implementado)</t>
  </si>
  <si>
    <t>12 programas</t>
  </si>
  <si>
    <t>36 programas</t>
  </si>
  <si>
    <t>Programas implementados de reciclaje y clasificación de residuos</t>
  </si>
  <si>
    <t>Verificar que se implementen programas de reciclaje y clasificación de residuos</t>
  </si>
  <si>
    <t>(PRCI / PRCP) * 100</t>
  </si>
  <si>
    <t>0 programas de reciclaje y clasificación de residuos implementados</t>
  </si>
  <si>
    <t>0 programas implementados de reciclaje y clasificación de residuos</t>
  </si>
  <si>
    <t>5,000 metros</t>
  </si>
  <si>
    <t>15,000 metros</t>
  </si>
  <si>
    <t>Metros lineales nuevos de línea morada para el riego de áreas verdes con agua tratada</t>
  </si>
  <si>
    <t xml:space="preserve">Conocer los metros lineales ampliados de la Red de la Línea Morada </t>
  </si>
  <si>
    <t>(LMAM / LMPR) * 100</t>
  </si>
  <si>
    <t>10,305 metros de línea morada ampliados</t>
  </si>
  <si>
    <t>18,888 metros de línea morada ampliados</t>
  </si>
  <si>
    <t>20,670m</t>
  </si>
  <si>
    <t>62,363 metros de línea morada ampliados</t>
  </si>
  <si>
    <t>Elaboración del Programa Municipal de Desarrollo Urbano</t>
  </si>
  <si>
    <t>Conocer el avance en la elaboración del Programa Municipal de Desarrollo Urbano.</t>
  </si>
  <si>
    <t>(CPMD + GPMD + APMD + FPMD + DPMD + EPMD + NPMD + PPMD + SPMD + APMD)  / TADU *100</t>
  </si>
  <si>
    <t>2 actividades realizadas para la elaboración del programa municipal de desarrollo urbano</t>
  </si>
  <si>
    <t>8 actividades realizadas para la elaboración del programa municipal de desarrollo urbano</t>
  </si>
  <si>
    <t>2,083 árboles</t>
  </si>
  <si>
    <t>8,333 árboles</t>
  </si>
  <si>
    <t>25,000 árboles</t>
  </si>
  <si>
    <t>Número de árboles plantados dentro del programa de reforestación masiva en el Municipio de Chihuahua</t>
  </si>
  <si>
    <t>Conocer el número de arboles plantados que contribuyen al Programa de  Reforestación Masiva en el Municipio de Chihuahua</t>
  </si>
  <si>
    <t>( APRE / APPP ) * 100</t>
  </si>
  <si>
    <t>10,000 árboles plantados en programa de reforestación</t>
  </si>
  <si>
    <t>9,683 árboles plantados en programas de reforestación</t>
  </si>
  <si>
    <t>2274 árboles plantados</t>
  </si>
  <si>
    <t>23,957 árboles plantados en programas de reforestación</t>
  </si>
  <si>
    <t>500,000 llantas trituradas</t>
  </si>
  <si>
    <t>2,000,000 llantas trituradas</t>
  </si>
  <si>
    <t>6,000,000 llantas trituradas</t>
  </si>
  <si>
    <t>Número de llantas trituradas</t>
  </si>
  <si>
    <t>Conocer el porcentaje de avance en la trituración y disposición final de llantas acumuladas en el relleno sanitario.</t>
  </si>
  <si>
    <t>( LLTR / LLPR ) * 100</t>
  </si>
  <si>
    <t>7,000,000 de llantas trituradas</t>
  </si>
  <si>
    <t>6,000,000 de llantas trituradas</t>
  </si>
  <si>
    <t>Proyecto de limpieza de lotes baldíos particulares en el municipio.</t>
  </si>
  <si>
    <t>Verificar el avance en la limpieza de lotes baldíos propiedad de particulares.</t>
  </si>
  <si>
    <t>( LBLI / LBPR ) * 100</t>
  </si>
  <si>
    <t>416 luminarias led</t>
  </si>
  <si>
    <t>1,666 luminarias led</t>
  </si>
  <si>
    <t>5,000 luminarias led</t>
  </si>
  <si>
    <t>Número de luminarias led instaladas</t>
  </si>
  <si>
    <t>Conocer el número de luminarias led instaladas</t>
  </si>
  <si>
    <t>(LLI / LLP) *100</t>
  </si>
  <si>
    <t>1,950 luminarias led</t>
  </si>
  <si>
    <t>1170 luminarias led instaladas</t>
  </si>
  <si>
    <t>249 luminarias led</t>
  </si>
  <si>
    <t>3086 luminarias led instaladas</t>
  </si>
  <si>
    <t>PREVENCIÓN Y SEGURIDAD PÚBLICA</t>
  </si>
  <si>
    <t xml:space="preserve">2 propuestas </t>
  </si>
  <si>
    <t>6 propuestas</t>
  </si>
  <si>
    <t>Propuestas de adecuación al Reglamento de Protección Civil y Bomberos</t>
  </si>
  <si>
    <t>Revisar que se realicen las propuestas de adecuaciones y cambios necesarios al Reglamento de Protección Civil y Bomberos.</t>
  </si>
  <si>
    <t>(PAR / PAP) *100</t>
  </si>
  <si>
    <t>2 propuesta de adecuación realizada</t>
  </si>
  <si>
    <t>0 propuestas</t>
  </si>
  <si>
    <t>4 propuestas</t>
  </si>
  <si>
    <t>6 propuesta de adecuación realizada</t>
  </si>
  <si>
    <t>1 Procedimiento de Operación Estándar</t>
  </si>
  <si>
    <t>4 Procedimientos de Operación Estándar</t>
  </si>
  <si>
    <t>12 Procedimientos de Operación Estándar</t>
  </si>
  <si>
    <t>Número de procedimientos estandarizados de atención a servicios de auxilio del cuerpo de bomberos y protección civil</t>
  </si>
  <si>
    <t>Conocer el número de procedimientos de atención a servicios de auxilio del Cuerpo de Bomberos que han sido estandarizados.</t>
  </si>
  <si>
    <t>(PE / PPE)*100</t>
  </si>
  <si>
    <t>1 procedimiento de operación estándar</t>
  </si>
  <si>
    <t>5 procedimientos estandarizados</t>
  </si>
  <si>
    <t>8 procedimientos estandarizados</t>
  </si>
  <si>
    <t>14 procedimientos de operación estándar</t>
  </si>
  <si>
    <t>10 elementos</t>
  </si>
  <si>
    <t>30 elementos</t>
  </si>
  <si>
    <t>Nuevos elementos del cuerpo de bomberos</t>
  </si>
  <si>
    <t>Conocer el avance en la incorporación de nuevos elementos del cuerpo de bomberos.</t>
  </si>
  <si>
    <t>(EBN / EBPI)*100</t>
  </si>
  <si>
    <t>0 nuevos bomberos</t>
  </si>
  <si>
    <t>3 vehículos</t>
  </si>
  <si>
    <t>9 vehículos</t>
  </si>
  <si>
    <t>Incremento del parque vehicular y equipamiento del cuerpo de bomberos</t>
  </si>
  <si>
    <t>Verificar el incremento del parque vehicular y equipamiento del Cuerpo de Bomberos.</t>
  </si>
  <si>
    <t>(VEA / VEPA)*1000</t>
  </si>
  <si>
    <t>0 vehículos</t>
  </si>
  <si>
    <t>4 vehículos adquiridos</t>
  </si>
  <si>
    <t xml:space="preserve">Inventario y fotos de los vehículos nuevos </t>
  </si>
  <si>
    <t>Trianual</t>
  </si>
  <si>
    <t>2 estaciones de bomberos nuevas</t>
  </si>
  <si>
    <t>Estaciones de bomberos construidas</t>
  </si>
  <si>
    <t>Conocer el aumento del número de estaciones de bomberos.</t>
  </si>
  <si>
    <t>(EBPC / EBNP) *100</t>
  </si>
  <si>
    <t>0 estaciones de bomberos construidas</t>
  </si>
  <si>
    <t>Elaboración de diagnóstico geográfico en materia de protección civil</t>
  </si>
  <si>
    <t>Conocer el avance en la realización del diagnóstico geográfico del municipio en materia de Protección Civil.</t>
  </si>
  <si>
    <t>(RIGE + INPD + DPAC) / TADG *100</t>
  </si>
  <si>
    <t>1 actividad (recopilación de información geográfica y determinación de plataforma para procesamiento)</t>
  </si>
  <si>
    <t>Coordinación con diferentes órdenes de gobierno y asociaciones civiles en materia de protección civil</t>
  </si>
  <si>
    <t>Verificar la realización de las acciones que fortalezcan la coordinación en materia de protección civil.</t>
  </si>
  <si>
    <t>(AIDR + AEIR + PEIM) / TAIM *100</t>
  </si>
  <si>
    <t xml:space="preserve">3 actividades realizadas </t>
  </si>
  <si>
    <t xml:space="preserve">5 campañas </t>
  </si>
  <si>
    <t xml:space="preserve">15 campañas </t>
  </si>
  <si>
    <t>Campañas realizadas para elevar cultura de protección civil</t>
  </si>
  <si>
    <t>Conocer el avance en realización de campañas sobre cultura de Protección Civil.</t>
  </si>
  <si>
    <t>(CAMR / CAPR)*100</t>
  </si>
  <si>
    <t>4campañas realizadas</t>
  </si>
  <si>
    <t>5 campañas de protección civil realizadas</t>
  </si>
  <si>
    <t>4 campañas</t>
  </si>
  <si>
    <t>14 campañas de protección civil realizadas</t>
  </si>
  <si>
    <t>50 inspecciones</t>
  </si>
  <si>
    <t>200 inspecciones</t>
  </si>
  <si>
    <t>600 inspecciones</t>
  </si>
  <si>
    <t>Número de inspecciones de protección civil realizadas</t>
  </si>
  <si>
    <t>Conocer el número de inspecciones de vigilancia realizadas para el cumplimiento de la normatividad de Protección Civil.</t>
  </si>
  <si>
    <t>(IPCR / IPCP) *100</t>
  </si>
  <si>
    <t>546 inspecciones de protección civil realizadas</t>
  </si>
  <si>
    <t>271 inspecciones de protección civil realizadas</t>
  </si>
  <si>
    <t>1 sistema de alerta temprana</t>
  </si>
  <si>
    <t>2 sistemas de alerta temprana</t>
  </si>
  <si>
    <t>Sistemas de alerta temprana contra efectos catastróficos implementados</t>
  </si>
  <si>
    <t>Verificar que se propongan e implementen sistemas de alerta temprana para mitigar el impacto de eventos catastróficos.</t>
  </si>
  <si>
    <t>(SATI / SATP) *100</t>
  </si>
  <si>
    <t>0 sistemas de alerta temprana implementados</t>
  </si>
  <si>
    <t>Elaboración del Atlas Municipal de Riesgos</t>
  </si>
  <si>
    <t>Conocer el avance en la elaboración del Atlas Municipal de Riesgos</t>
  </si>
  <si>
    <t>(IDDE + DIEV + INMS) / TAEA *100</t>
  </si>
  <si>
    <t>2 actividades realizadas para Atlas de Riesgos (Identificación y determinación de AMR, y Diagnóstico y evaluación de información del AMR)</t>
  </si>
  <si>
    <t>1 actividad (integración de información de manera sistemática)</t>
  </si>
  <si>
    <t>3 actividades realizadas para Atlas de Riesgos (Identificación y determinación de AMR, Diagnóstico y evaluación de información del AMR e integración de información de manera sistemática)</t>
  </si>
  <si>
    <t>5 Simulacros</t>
  </si>
  <si>
    <t xml:space="preserve">20 Simulacros </t>
  </si>
  <si>
    <t>60 Simulacros</t>
  </si>
  <si>
    <t>Número de simulacros realizados para promover la cultura de protección civil</t>
  </si>
  <si>
    <t>Conocer el número de simulacros realizados en edificios públicos y privados para promover la cultura de protección civil.</t>
  </si>
  <si>
    <t>(SER / SPR) *100</t>
  </si>
  <si>
    <t>69 simulacros realizados</t>
  </si>
  <si>
    <t>132 Simulacros realizados</t>
  </si>
  <si>
    <t>1 Programas de prevención y auxilio</t>
  </si>
  <si>
    <t>4 Programas de prevención y auxilio</t>
  </si>
  <si>
    <t>12 Programas de prevención y auxilio</t>
  </si>
  <si>
    <t>Número de programas de prevención y auxilio realizados por el Consejo Municipal de Protección Civil</t>
  </si>
  <si>
    <t>Conocer el número de programas de prevención y auxilio realizados por el Consejo Municipal de Protección Civil.</t>
  </si>
  <si>
    <t>(PAXR / PAXP) *100</t>
  </si>
  <si>
    <t>1 programa de prevención y auxilio</t>
  </si>
  <si>
    <t>2 programas de prevención y auxilio</t>
  </si>
  <si>
    <t>2 programas de prevención y auxilio (subprograma de prevención y subprograma de recuperación)</t>
  </si>
  <si>
    <t>5 programas de prevención y auxilio</t>
  </si>
  <si>
    <t>Establecimiento de un procedimiento de apoyo al H. Cuerpo de Bomberos durante incendios mayores</t>
  </si>
  <si>
    <t>Conocer el avance en el establecimiento del programa de contingencias ambientales e incendios</t>
  </si>
  <si>
    <t>(AIDR + COIR + PUIM) / TAIM *100</t>
  </si>
  <si>
    <t>Dirección de Seguridad Pública</t>
  </si>
  <si>
    <t>15 programas</t>
  </si>
  <si>
    <t>60 programas</t>
  </si>
  <si>
    <t>180 programas</t>
  </si>
  <si>
    <t>Número de acciones en programas de prevención impulsados</t>
  </si>
  <si>
    <t>Verificar que se impulsen los programas de prevención relacionados con redes sociales tales como: bullying, Pasa las Llaves, Vecino Alerta, Operación Mochila, mediante acciones realizadas.</t>
  </si>
  <si>
    <t>(APRE / APPR) * 100</t>
  </si>
  <si>
    <t>188 acciones de prevención realizadas (bullying, pasa las llaves, vecino alerta, operación mochila, etc.)</t>
  </si>
  <si>
    <t>284 acciones en programas de prevención impulsados</t>
  </si>
  <si>
    <t>13 visitas</t>
  </si>
  <si>
    <t>50 visitas</t>
  </si>
  <si>
    <t>150 visitas</t>
  </si>
  <si>
    <t>Visitas a los comités de vecinos por parte del personal de seguridad pública</t>
  </si>
  <si>
    <t>Conocer el desarrollo de acciones que mejoren la coordinación entre el Municipio y los Comités de vecinos en materia de seguridad.</t>
  </si>
  <si>
    <t>( VCR / VCP ) * 100</t>
  </si>
  <si>
    <t>66 visitas realizadas a comités de vecinos por parte de seguridad pública</t>
  </si>
  <si>
    <t>108 visitas a comités de vecinos por parte de personal de seguridad pública</t>
  </si>
  <si>
    <t>40 revisiones a protocolos</t>
  </si>
  <si>
    <t>160 revisiones a protocolos</t>
  </si>
  <si>
    <t>480 revisiones a protocolos</t>
  </si>
  <si>
    <t>Revisiones realizadas a protocolos de prevención y seguridad para su fortalecimiento</t>
  </si>
  <si>
    <t>Conocer el número de revisiones realizadas en los protocolos de prevención y seguridad.</t>
  </si>
  <si>
    <t>( PORE / POPR ) * 100</t>
  </si>
  <si>
    <t>295 revisiones realizadas a protocolos de prevención y seguridad</t>
  </si>
  <si>
    <t>240 revisiones a protocolos</t>
  </si>
  <si>
    <t>535 revisiones realizadas a protocolos de prevención y seguridad</t>
  </si>
  <si>
    <t>2 organizaciones civiles con programas de prevención</t>
  </si>
  <si>
    <t>6 organizaciones civiles con programas de prevención</t>
  </si>
  <si>
    <t xml:space="preserve">Número de organizaciones civiles con programas de prevención implementados </t>
  </si>
  <si>
    <t>Conocer el número de organizaciones civiles que imparten o trabajan proyectos o programas de prevención</t>
  </si>
  <si>
    <t>(OCPI / OCPAI) * 100</t>
  </si>
  <si>
    <t>2 organizaciones civiles con programas de prevención implementados</t>
  </si>
  <si>
    <t>15 organizaciones civiles con programas de prevención implementados</t>
  </si>
  <si>
    <t>33 capacitados</t>
  </si>
  <si>
    <t xml:space="preserve">100 capacitados </t>
  </si>
  <si>
    <t>Personal de la D.S.P.M. capacitado en materia de prevención</t>
  </si>
  <si>
    <t xml:space="preserve">Conocer la cantidad de personal de la DSPM capacitado en materia de prevención </t>
  </si>
  <si>
    <t>(PCPR / PACP) * 100</t>
  </si>
  <si>
    <t>35 personas de la dirección de seguridad pública capacitadas en materia de prevención</t>
  </si>
  <si>
    <t>19 personas capacitadas en prevención</t>
  </si>
  <si>
    <t>77 personas capacitadas</t>
  </si>
  <si>
    <t>182 personas de la dirección de seguridad pública capacitadas en materia de prevención</t>
  </si>
  <si>
    <t>13 acciones en colonias</t>
  </si>
  <si>
    <t>50 acciones en colonias</t>
  </si>
  <si>
    <t>150 acciones de seguridad</t>
  </si>
  <si>
    <t>Número de acciones realizadas en colonias con mayores problemas de seguridad para disminución de incidencia delictiva</t>
  </si>
  <si>
    <t>Conocer el numero de acciones realizadas para disminuir la incidencia delictiva en colonias conflictivas identificadas</t>
  </si>
  <si>
    <t>( ACRE / ACPR ) * 100</t>
  </si>
  <si>
    <t>69 acciones de seguridad (operativos) realizadas en colonias con mayores problemas de seguridad, para disminuir la incidencia delictiva.</t>
  </si>
  <si>
    <t>756 acciones para disminuir la incidencia delictiva en colonias conflictivas</t>
  </si>
  <si>
    <t>5614 acciones de seguridad (número de detenidos)</t>
  </si>
  <si>
    <t>6439 acciones de seguridad (operativos) realizadas en colonias con mayores problemas de seguridad, para disminuir la incidencia delictiva.</t>
  </si>
  <si>
    <t>Denuncias Cerradas Igual o Mayor al 90% del Total de Denuncias</t>
  </si>
  <si>
    <t>Porcentaje de denuncias cerradas</t>
  </si>
  <si>
    <t xml:space="preserve">Conocer el porcentaje de denuncias cerradas en relación con el total de denuncias </t>
  </si>
  <si>
    <t>(TDCE / TODE) * 100</t>
  </si>
  <si>
    <t>91.75% denuncias cerradas</t>
  </si>
  <si>
    <t>100% de denuncias cerradas</t>
  </si>
  <si>
    <t>72.69% (3226 denuncias cerradas, 4438 total de denuncias)</t>
  </si>
  <si>
    <t>25 policías</t>
  </si>
  <si>
    <t>100 policías</t>
  </si>
  <si>
    <t>300 policías</t>
  </si>
  <si>
    <t>Número de policías capacitados en tema de violencia de género</t>
  </si>
  <si>
    <t>Conocer número de policías de la Dirección de Seguridad Pública capacitados, para dar cumplimiento a los compromisos del Protocolo de Atención a Víctimas de Violencia de Género.</t>
  </si>
  <si>
    <t>(PC / PPC) *100</t>
  </si>
  <si>
    <t>Instituto Municipal de Mujeres</t>
  </si>
  <si>
    <t>14 policías capacitados en temas de violencia de género.</t>
  </si>
  <si>
    <t>349 policías capacitados en tema de violencia de género</t>
  </si>
  <si>
    <t>300 policías capacitados en tema de violencia de género</t>
  </si>
  <si>
    <t>663 policías capacitados en temas de violencia de género.</t>
  </si>
  <si>
    <t>3 capacitaciones</t>
  </si>
  <si>
    <t>9 capacitaciones</t>
  </si>
  <si>
    <t>Número de capacitaciones en materia de atención a mujeres víctimas de violencia intrafamiliar realizadas para fortalecer las "UAVI"</t>
  </si>
  <si>
    <t>Conocer el número de capacitaciones en materia de atención a mujeres víctimas de violencia intrafamiliar, realizadas para fortalecer a las unidades de atención a violencia intrafamiliar (UAVI).</t>
  </si>
  <si>
    <t>2 capacitaciones</t>
  </si>
  <si>
    <t>2 capacitaciones realizadas para las UAVI</t>
  </si>
  <si>
    <t>5  capacitaciones a las UAVI realizadas</t>
  </si>
  <si>
    <t>100 policías Incorporados</t>
  </si>
  <si>
    <t>300 policías Incorporados</t>
  </si>
  <si>
    <t>Número de nuevos policías incorporados</t>
  </si>
  <si>
    <t xml:space="preserve">Conocer el número de nuevos policías incorporados </t>
  </si>
  <si>
    <t>(POIN / PNPR) * 100</t>
  </si>
  <si>
    <t>175 policías incorporados</t>
  </si>
  <si>
    <t>182 policías incorporados</t>
  </si>
  <si>
    <t>3 análisis estadísticos</t>
  </si>
  <si>
    <t>12 análisis estadísticos</t>
  </si>
  <si>
    <t>36 análisis estadísticos</t>
  </si>
  <si>
    <t>Número de análisis en nuevas técnicas y estrategias de prevención y seguridad pública realizados</t>
  </si>
  <si>
    <t>Verificar que se analicen nuevas técnicas y estrategias de aplicación de prevención y seguridad pública.</t>
  </si>
  <si>
    <t>(ANRE / ANPR) * 100</t>
  </si>
  <si>
    <t>13 análisis de incidencia delictiva mensuales realizados</t>
  </si>
  <si>
    <t>6 análisis estadísticos realizados</t>
  </si>
  <si>
    <t>6 análisis</t>
  </si>
  <si>
    <t>31 análisis de incidencia delictiva mensuales realizados</t>
  </si>
  <si>
    <t xml:space="preserve">1 proyecto </t>
  </si>
  <si>
    <t xml:space="preserve">3 proyectos </t>
  </si>
  <si>
    <t xml:space="preserve">Proyectos realizados en coordinación con el Observatorio Ciudadano de Prevención, Seguridad y Justicia A.C. </t>
  </si>
  <si>
    <t>Verificar el desarrollo de proyectos en conjunto que fortalezcan la coordinación entre la Dirección de Seguridad Pública y el Observatorio Ciudadano de Prevención, Seguridad y Justicia A.C.</t>
  </si>
  <si>
    <t>(PRRE / PRAR) * 100</t>
  </si>
  <si>
    <t>2 proyectos realizados en coordinación con el observatorio ciudadano de prevención, seguridad y justicia a.c.</t>
  </si>
  <si>
    <t>3 proyectos realizados en coordinación con el observatorio ciudadano de prevención, seguridad y justicia a.c.</t>
  </si>
  <si>
    <t>33 personas capacitadas</t>
  </si>
  <si>
    <t>100 personas capacitadas</t>
  </si>
  <si>
    <t>Personal de seguridad pública capacitado en temas de perspectivas de género y derechos humanos</t>
  </si>
  <si>
    <t xml:space="preserve">Conocer la cantidad de personal de seguridad pública capacitado en temas de perspectiva de género y derechos humanos </t>
  </si>
  <si>
    <t>(PCGD / PACD) * 100</t>
  </si>
  <si>
    <t>0 personal de seguridad pública capacitado en temas de perspectiva de género y derechos humanos</t>
  </si>
  <si>
    <t>19 personas capacitadas en perspectiva de género y derechos humanos</t>
  </si>
  <si>
    <t>2 certificaciones</t>
  </si>
  <si>
    <t>Certificaciones CALEA e ISO 9001:2008 para seguridad pública</t>
  </si>
  <si>
    <t>Verificar que se mantengan y consoliden las certificaciones CALEA e ISO 9001:2008</t>
  </si>
  <si>
    <t>(CECA + CEIS)  / TOCE * 100</t>
  </si>
  <si>
    <t>0 certificación de calea e iso 9001:2008 (no se han terminado de recertificar)</t>
  </si>
  <si>
    <t>1certificación de calea</t>
  </si>
  <si>
    <t>1 convenio</t>
  </si>
  <si>
    <t>3 convenios</t>
  </si>
  <si>
    <t>Convenios realizados con instituciones de educación superior para promover la Licenciatura en Ciencias Policiales</t>
  </si>
  <si>
    <t>Conocer el numero de convenios realizados con instituciones de educación superior para promover la Licenciatura en Ciencias Policiales.</t>
  </si>
  <si>
    <t>( CORE / COPR ) * 100</t>
  </si>
  <si>
    <t>0 convenios realizados con instituciones de educación superior para promover la licenciatura en ciencias policiales.</t>
  </si>
  <si>
    <t>0 convenios</t>
  </si>
  <si>
    <t>50 vehículos automotor</t>
  </si>
  <si>
    <t>150 vehículos automotor</t>
  </si>
  <si>
    <t>Número de vehículos automotor nuevos de la DSPM</t>
  </si>
  <si>
    <t>Conocer el número de nuevos vehículos automotores de seguridad pública</t>
  </si>
  <si>
    <t>(VAAD / VARE) * 100</t>
  </si>
  <si>
    <t>31 vehículos automotores nuevos adquiridos de la DSPM.</t>
  </si>
  <si>
    <t>43 vehículos</t>
  </si>
  <si>
    <t>262 vehículos</t>
  </si>
  <si>
    <t>345 vehículos automotores nuevos adquiridos de la DSPM.</t>
  </si>
  <si>
    <t>400 equipos completos de policía obtenidos</t>
  </si>
  <si>
    <t>1200 equipos completos de policía obtenidos</t>
  </si>
  <si>
    <t>Número de equipos completos de policía adquiridos para funcionalidad de la corporación</t>
  </si>
  <si>
    <t>Conocer el número de equipos completos de policías adquiridos para la funcionalidad de la corporación.</t>
  </si>
  <si>
    <t>(ECPA / ECPP) *100</t>
  </si>
  <si>
    <t xml:space="preserve">1121 equipos completos de policía al momento. </t>
  </si>
  <si>
    <t xml:space="preserve">3,989 equipos completos de policía al momento. </t>
  </si>
  <si>
    <t>Construcción del nuevo centro de control de mando</t>
  </si>
  <si>
    <t>Conocer el avance en la construcción del nuevo centro de control de mando.</t>
  </si>
  <si>
    <t>(SOPR + LION + ADIO + CONS + EQUIP) / TACM * 100</t>
  </si>
  <si>
    <t>1 actividad realizada para la construcción del nuevo centro de control de mando (solicitud del proyecto)</t>
  </si>
  <si>
    <t>27 cámaras de video - vigilancia</t>
  </si>
  <si>
    <t>81 cámaras de video - vigilancia</t>
  </si>
  <si>
    <t>Número de cámaras obtenidas para video-vigilancia en el municipio</t>
  </si>
  <si>
    <t>Conocer el número de nuevas cámaras obtenidas para video-vigilancia en el Municipio.</t>
  </si>
  <si>
    <t>( CAOB / CAPR ) * 100</t>
  </si>
  <si>
    <t>0 cámaras obtenidas para video-vigilancia en el municipio</t>
  </si>
  <si>
    <t>Mejoramiento de la infraestructura y el equipamiento de comandancias norte y sur</t>
  </si>
  <si>
    <t>Conocer el avance de las acciones de mejora para la infraestructura y el equipamiento de las Comandancias Norte y Sur.</t>
  </si>
  <si>
    <t>( SLPR + LCCI + AJUC + CCI + EIEN ) / AMEJ * 100</t>
  </si>
  <si>
    <t>1 actividad realizada para el mejoramiento de la infraestructura y equipamiento de las comandancias norte y sur (solicitud del proyecto)</t>
  </si>
  <si>
    <t>2 actividad realizada para el mejoramiento de la infraestructura y equipamiento de las comandancias norte y sur (solicitud del proyecto)</t>
  </si>
  <si>
    <t>4 bonos</t>
  </si>
  <si>
    <t>50 bonos</t>
  </si>
  <si>
    <t>150 bonos</t>
  </si>
  <si>
    <t xml:space="preserve">Número de Bonos al buen desempeño laboral entregados a policías </t>
  </si>
  <si>
    <t xml:space="preserve">Conocer el número de bonos al buen desempeño laboral entregados a policías </t>
  </si>
  <si>
    <t>(BOEN / BOPR) * 100</t>
  </si>
  <si>
    <t>95 bonos al buen desempeño laboral entregados a personal de la DSPM</t>
  </si>
  <si>
    <t>84 bonos</t>
  </si>
  <si>
    <t>4 programas de apoyo adicionales establecidos</t>
  </si>
  <si>
    <t>Números de programas de apoyos adicionales establecidos para policías en coordinación con sociedad civil e instituciones educativas</t>
  </si>
  <si>
    <t>Conocer el número de programas de apoyos adicionales establecidos para policías en coordinación con sociedad civil e instituciones educativas</t>
  </si>
  <si>
    <t>(PAAE / PAAP) *100</t>
  </si>
  <si>
    <t>3 programas de apoyos adicionales establecidos para policías (descuento en cinemex, y descuento en restaurante dennys)</t>
  </si>
  <si>
    <t>4 programas de apoyos adicionales establecidos para policías (descuento en cinemex, y descuento en restaurante dennys)</t>
  </si>
  <si>
    <t>1 instalaciones creadas</t>
  </si>
  <si>
    <t>3 instalaciones creadas</t>
  </si>
  <si>
    <t>Instalaciones creadas para bienestar social de integrantes de la Dirección de Seguridad Pública y sus familias</t>
  </si>
  <si>
    <t xml:space="preserve">Conocer las instalaciones creadas para bienestar social de integrantes de la DSPM y sus familias </t>
  </si>
  <si>
    <t>( TICR / TIPR ) * 100</t>
  </si>
  <si>
    <t>3 instalaciones creadas para el bienestar social de los integrantes de la DSPM (Cedipol, y Consultorios Médicos ubicados en comandancia norte y comandancia sur)</t>
  </si>
  <si>
    <t>0 instalaciones</t>
  </si>
  <si>
    <t>Dirección de Desarrollo Comercial y Turístico</t>
  </si>
  <si>
    <t>DESARROLLO ECONÓMICO</t>
  </si>
  <si>
    <t>14 reuniones</t>
  </si>
  <si>
    <t>50 reuniones</t>
  </si>
  <si>
    <t>145 reuniones</t>
  </si>
  <si>
    <t>Número de reuniones realizadas con inversionistas e iniciativa privada para impulsar el empleo</t>
  </si>
  <si>
    <t>Conocer el número de reuniones realizadas entre la Dirección de Desarrollo Comercial y Turístico con inversionistas e iniciativa privada, para promover el empleo.</t>
  </si>
  <si>
    <t>(RRF / RPF)* 100</t>
  </si>
  <si>
    <t>53 reuniones realizadas con inversionistas e iniciativa privada para impulsar el empleo</t>
  </si>
  <si>
    <t>26 reuniones</t>
  </si>
  <si>
    <t>42 reuniones</t>
  </si>
  <si>
    <t>136 reuniones realizadas con inversionistas e iniciativa privada para impulsar el empleo</t>
  </si>
  <si>
    <t>116 créditos</t>
  </si>
  <si>
    <t>350 créditos</t>
  </si>
  <si>
    <t>Créditos otorgados para proyectos emprendedores a través de DEMIC</t>
  </si>
  <si>
    <t>Conocer el número de créditos otorgados para proyectos emprendedores a través de DEMIC.</t>
  </si>
  <si>
    <t>(CPO / CPP)* 100</t>
  </si>
  <si>
    <t>84 créditos</t>
  </si>
  <si>
    <t>60 créditos</t>
  </si>
  <si>
    <t>130 créditos</t>
  </si>
  <si>
    <t>314 créditos</t>
  </si>
  <si>
    <t>Actividades realizadas para fomentar el proceso de exportación de productos locales</t>
  </si>
  <si>
    <t>Conocer las actividades realizadas para fomentar el proceso de exportación de productos locales.</t>
  </si>
  <si>
    <t>(A1 + A2 + A3 + A4 + A5 + A6) / TAFE  *100</t>
  </si>
  <si>
    <t>6 actividades realizadas para fomentar el proceso de exportación de productos locales</t>
  </si>
  <si>
    <t>5 productores locales</t>
  </si>
  <si>
    <t>12 productores locales</t>
  </si>
  <si>
    <t>36 productores locales</t>
  </si>
  <si>
    <t>Número de productores locales con exportaciones directas</t>
  </si>
  <si>
    <t>31 productores</t>
  </si>
  <si>
    <t>39 productores</t>
  </si>
  <si>
    <t>2 productores colocados como proveedores de empresas locales</t>
  </si>
  <si>
    <t>20 productores colocados como proveedores de empresas locales</t>
  </si>
  <si>
    <t>60 productores  colocados como proveedores de empresas locales</t>
  </si>
  <si>
    <t>Número de productores colocados como proveedores de empresas locales</t>
  </si>
  <si>
    <t>Conocer la cantidad de productores que se colocan como proveedores en empresas locales.</t>
  </si>
  <si>
    <t xml:space="preserve">(PCE / PPC) *100 </t>
  </si>
  <si>
    <t>0 productores colocados como proveedores de empresas locales</t>
  </si>
  <si>
    <t>50 productores colocados como proveedores de empresas locales</t>
  </si>
  <si>
    <t>151 productores colocados como proveedores de empresas locales</t>
  </si>
  <si>
    <t>211 productores colocados como proveedores de empresas locales</t>
  </si>
  <si>
    <t>20 empresas</t>
  </si>
  <si>
    <t>60 empresas</t>
  </si>
  <si>
    <t>170 empresas</t>
  </si>
  <si>
    <t>Número de empresas registradas en la bolsa de trabajo del municipio</t>
  </si>
  <si>
    <t>Conocer el número de solicitudes registradas en la Bolsa de Trabajo de Municipio.</t>
  </si>
  <si>
    <t>(SRSW / SRBT) *100</t>
  </si>
  <si>
    <t>422 solicitudes registradas en la bolsa de trabajo del municipio</t>
  </si>
  <si>
    <t>257 solicitudes registradas en la bolsa de trabajo del municipio</t>
  </si>
  <si>
    <t>215  empresas</t>
  </si>
  <si>
    <t>215 empresas</t>
  </si>
  <si>
    <t>300 personas</t>
  </si>
  <si>
    <t>1,200 personas</t>
  </si>
  <si>
    <t>Número de personas asesoradas para afiliarse en el S.A.R.E.</t>
  </si>
  <si>
    <t>Conocer el número de personas asesoradas para afiliarse en el S.A.R.E.</t>
  </si>
  <si>
    <t>(PA / PPA)*100</t>
  </si>
  <si>
    <t>1430 personas asesoradas para afiliarse en el SARE</t>
  </si>
  <si>
    <t>1,190 personas asesoradas para afiliarse al S.A.R.E</t>
  </si>
  <si>
    <t>5516 personas asesoradas para afiliarse al S.A.R.E</t>
  </si>
  <si>
    <t>8536 personas asesoradas para afiliarse al S.A.R.E</t>
  </si>
  <si>
    <t>80 estudiantes</t>
  </si>
  <si>
    <t>240 estudiantes</t>
  </si>
  <si>
    <t>Número de estudiantes integrados a actividades económicas</t>
  </si>
  <si>
    <t>Conocer el número de estudiantes que se integran a las actividades económicas.</t>
  </si>
  <si>
    <t>(EI / EPR) *100</t>
  </si>
  <si>
    <t>0 estudiantes integrados a actividades económicas</t>
  </si>
  <si>
    <t>114 estudiantes integrados a actividades económicas</t>
  </si>
  <si>
    <t>190 Estudiantes</t>
  </si>
  <si>
    <t>234 estudiantes integrados a actividades económicas</t>
  </si>
  <si>
    <t>Número de talleres dirigidos a mujeres para desarrollar productos y servicios</t>
  </si>
  <si>
    <t>Conocer el número de talleres realizados  para desarrollar productos y servicios dirigidos a las mujeres.</t>
  </si>
  <si>
    <t>(TR / TPR) *100</t>
  </si>
  <si>
    <t>4 talleres realizados para desarrollar productos y servicios dirigidos a mujeres.</t>
  </si>
  <si>
    <t>6 talleres dirigidos a mujeres que desarrollen productos y servicios</t>
  </si>
  <si>
    <t>4 talleres realizados para desarrollar productos y servicios dirigidos a mujeres</t>
  </si>
  <si>
    <t>19 talleres realizados para desarrollar productos y servicios dirigidos a mujeres</t>
  </si>
  <si>
    <t>15 proyectos aprobados</t>
  </si>
  <si>
    <t>60 proyectos aprobados</t>
  </si>
  <si>
    <t>250 proyectos aprobados</t>
  </si>
  <si>
    <t>Número de proyectos productivos aprobados para apertura de nuevos negocios en el municipio</t>
  </si>
  <si>
    <t>Conocer el número de proyectos productivos que son apoyados por la Subdirección de Fomento Económico.</t>
  </si>
  <si>
    <t>(PA / TP) *100</t>
  </si>
  <si>
    <t>54 proyectos productivos aprobados para apertura de nuevos negocios en el municipio</t>
  </si>
  <si>
    <t>188 proyectos productivos aprobados para apertura de nuevos negocios en el municipio</t>
  </si>
  <si>
    <t>104 proyectos productivos aprobados para apertura de nuevos negocios en el municipio</t>
  </si>
  <si>
    <t>346 proyectos productivos aprobados para apertura de nuevos negocios en el municipio</t>
  </si>
  <si>
    <t>210 personas capacitadas</t>
  </si>
  <si>
    <t>700 personas capacitadas</t>
  </si>
  <si>
    <t>2,100 personas capacitadas</t>
  </si>
  <si>
    <t>Número de personas capacitadas en temas empresariales</t>
  </si>
  <si>
    <t>Conocer el número de personas capacitadas en temas empresariales para el mejor desarrollo de las micro, pequeñas y medianas empresas en la localidad.</t>
  </si>
  <si>
    <t>(PC / PPR) *100</t>
  </si>
  <si>
    <t>517 personas capacitadas en temas empresariales</t>
  </si>
  <si>
    <t>610 personas capacitadas en temas empresariales</t>
  </si>
  <si>
    <t>460 personas capacitadas</t>
  </si>
  <si>
    <t>2137 personas capacitadas en temas empresariales</t>
  </si>
  <si>
    <t>Mayor que 85%</t>
  </si>
  <si>
    <t>Porcentaje de solicitudes atendidas para la gestión de recursos orientados al sector social solidario</t>
  </si>
  <si>
    <t>Conocer el porcentaje de solicitudes atendidas contra las recibidas para la gestión de fondos.</t>
  </si>
  <si>
    <t>(SA / SR) *100</t>
  </si>
  <si>
    <t>100% de solicitudes atendidas para la gestión de recursos orientados al sector social solidario</t>
  </si>
  <si>
    <t>100% de solicitudes atendidas para la gestión de recursos orientados al sector social solidario (18 recibidas y 18 atendidas)</t>
  </si>
  <si>
    <t>100% (85 solicitudes recibidas, 85 atendidas)</t>
  </si>
  <si>
    <t>15 proyectos</t>
  </si>
  <si>
    <t>60 proyectos</t>
  </si>
  <si>
    <t>250 proyectos</t>
  </si>
  <si>
    <t>Número de proyectos innovados en emprendedores que promueven marcha Chihuahua</t>
  </si>
  <si>
    <t>Conocer el número de proyectos de Emprendedores que por medio de la Subdirección de Fomento Económico innovan y/o profesionalizan su producto y/o servicio.</t>
  </si>
  <si>
    <t>(PI / PPI) *100</t>
  </si>
  <si>
    <t>0 proyectos innovados de emprendedores que promueven la marca Chihuahua</t>
  </si>
  <si>
    <t>133 proyectos innovados de emprendores que promueven la marca Chihuahua</t>
  </si>
  <si>
    <t>86 proyectos innovados</t>
  </si>
  <si>
    <t>15 eventos</t>
  </si>
  <si>
    <t>45 eventos</t>
  </si>
  <si>
    <t>Número de eventos realizados con exposición de productos y servicios por parte de empresarios y emprendedores locales</t>
  </si>
  <si>
    <t>Conocer el número de eventos realizados por la Dirección de Desarrollo Comercial y Turístico en donde los empresarios y/o emprendedores exponen sus productos o servicios.</t>
  </si>
  <si>
    <t>13 eventos realizados con exposición de productos y servicios por parte de empresarios y emprendedores locales</t>
  </si>
  <si>
    <t>9 eventos</t>
  </si>
  <si>
    <t>26 eventos realizados</t>
  </si>
  <si>
    <t>54 eventos realizados con exposición de productos y servicios por parte de empresarios y emprendedores locales</t>
  </si>
  <si>
    <t>10 talleres</t>
  </si>
  <si>
    <t>Número de talleres de autoempleo realizados con participación de instituciones de educación superior</t>
  </si>
  <si>
    <t>Conocer el número de talleres de autoempleo realizados con participación de educación superior.</t>
  </si>
  <si>
    <t>(TR / TPR) * 100</t>
  </si>
  <si>
    <t>1 taller para el autoempleo con participación de instituciones de educación superior impartidos</t>
  </si>
  <si>
    <t>3 talleres para el autoempleo con participación de instituciones de educación superior impartidos</t>
  </si>
  <si>
    <t>5 talleres  para el autoempleo con participación de instituciones de educación superior impartidos</t>
  </si>
  <si>
    <t>1 convenios</t>
  </si>
  <si>
    <t>4 convenios</t>
  </si>
  <si>
    <t>Número de convenios realizados con participación de instituciones de educación superior para implementación de talleres de autoempleo</t>
  </si>
  <si>
    <t>Conocer el número de convenios realizados con participación de educación superior.</t>
  </si>
  <si>
    <t>(CR / CP) * 100</t>
  </si>
  <si>
    <t>1 capacitación</t>
  </si>
  <si>
    <t>6 capacitaciones</t>
  </si>
  <si>
    <t>Capacitaciones en materia de responsabilidad social empresarial</t>
  </si>
  <si>
    <t>Conocer el número de empresas capacitadas en materia de responsabilidad social.</t>
  </si>
  <si>
    <t>(CRSR / CRSP) *100</t>
  </si>
  <si>
    <t>3 capacitaciones de responsabilidad social empresarial realizadas</t>
  </si>
  <si>
    <t>3 capacitación</t>
  </si>
  <si>
    <t>11 capacitaciones de responsabilidad social empresarial realizadas</t>
  </si>
  <si>
    <t>6 reuniones interinstitucionales</t>
  </si>
  <si>
    <t>24 reuniones interinstitucionales</t>
  </si>
  <si>
    <t>72  reuniones interinstitucionales</t>
  </si>
  <si>
    <t>Número de reuniones interinstitucionales realizadas para impulsar al municipio como destino turístico</t>
  </si>
  <si>
    <t>Conocer el número de reuniones interinstitucionales realizadas para impulsar al Municipio como destino turístico nacional e internacional.</t>
  </si>
  <si>
    <t>(RP / RR) * 100</t>
  </si>
  <si>
    <t>20 reuniones interinstitucionales realizadas para impulsar al municipio como destino turístico</t>
  </si>
  <si>
    <t>34 reuniones interinstitucionales para impulsar al municipio como destino turístico</t>
  </si>
  <si>
    <t>24 reuniones interinstitucionales para impulsar el municipio como destino turístico</t>
  </si>
  <si>
    <t>91 reuniones interinstitucionales para impulsar al municipio como destino turístico</t>
  </si>
  <si>
    <t>3 reuniones</t>
  </si>
  <si>
    <t>12 reuniones</t>
  </si>
  <si>
    <t>36 reuniones</t>
  </si>
  <si>
    <t>Número de reuniones realizadas para la planeación de proyectos y gestión de recursos</t>
  </si>
  <si>
    <t>Conocer el número de reuniones realizadas para la planeación de proyectos y gestión de recursos con Instituciones del sector público y sector privado.</t>
  </si>
  <si>
    <t>6 reuniones realizadas para la planeación de proyectos y gestión de recursos</t>
  </si>
  <si>
    <t>24 reuniones realizadas para la planeación de proyectos y gestión de recursos</t>
  </si>
  <si>
    <t xml:space="preserve">26 reuniones </t>
  </si>
  <si>
    <t>60 reuniones realizadas para la planeación de proyectos y gestión de recursos</t>
  </si>
  <si>
    <t>50 egresados como guía amigo</t>
  </si>
  <si>
    <t>100 egresados como guía amigo</t>
  </si>
  <si>
    <t>Número de capacitaciones para profesionalizar a prestadores de servicios turísticos</t>
  </si>
  <si>
    <t>Conocer el número de personas que se benefician con el programa guía amigo.</t>
  </si>
  <si>
    <t>(FE / EP) *100</t>
  </si>
  <si>
    <t>70 egresados como guía amigo</t>
  </si>
  <si>
    <t>103 egresados del programa guía amigo</t>
  </si>
  <si>
    <t>272 egresados del programa</t>
  </si>
  <si>
    <t>475 egresados del programa guía amigo</t>
  </si>
  <si>
    <t>3 productos turísticos</t>
  </si>
  <si>
    <t>9 productos turísticos</t>
  </si>
  <si>
    <t>Número de productos turísticos creados para el municipio</t>
  </si>
  <si>
    <t>Conocer el número de productos turísticos creados para el Municipio.</t>
  </si>
  <si>
    <t>(PTC / PTP) *100</t>
  </si>
  <si>
    <t>2 productos turísticos creados para el municipio</t>
  </si>
  <si>
    <t>14 productos turísticos creados para el municipio</t>
  </si>
  <si>
    <t>35 productos turísticos creados para el municipio</t>
  </si>
  <si>
    <t>2 eventos de promoción</t>
  </si>
  <si>
    <t>8 eventos  de promoción</t>
  </si>
  <si>
    <t>24 eventos de promoción</t>
  </si>
  <si>
    <t>Número de eventos de promoción realizados para impulsar productos turísticos del municipio</t>
  </si>
  <si>
    <t>Conocer el número de eventos de promoción realizados para impulsar el desarrollo de productos de tipo turístico, cultural, histórico y arquitectónico.</t>
  </si>
  <si>
    <t>(ER / EPAR) *100</t>
  </si>
  <si>
    <t>4 eventos de promoción realizados para impulsar productos turísticos del municipio</t>
  </si>
  <si>
    <t>11 eventos de promoción realizados para impulsar productos turísticos del municipio</t>
  </si>
  <si>
    <t>7 eventos</t>
  </si>
  <si>
    <t>10 actividades de promoción</t>
  </si>
  <si>
    <t>30 actividades de promoción</t>
  </si>
  <si>
    <t>Actividades para promoción del paseo por las haciendas de Chihuahua</t>
  </si>
  <si>
    <t>Conocer el avance en las actividades que den promoción al paseo por las Haciendas de Chihuahua.</t>
  </si>
  <si>
    <t>(APR / APP) *100</t>
  </si>
  <si>
    <t>3 actividades para promoción del paseo por las Haciendas</t>
  </si>
  <si>
    <t>14 actividades de promoción del paseo por las haciendas de Chihuahua</t>
  </si>
  <si>
    <t>15 actividades</t>
  </si>
  <si>
    <t>35 actividades de promoción del paseo por las haciendas de Chihuahua</t>
  </si>
  <si>
    <t>500 pasaportes turísticos infantiles</t>
  </si>
  <si>
    <t>2,000 pasaportes turísticos infantiles</t>
  </si>
  <si>
    <t>6,000 pasaportes turísticos infantiles</t>
  </si>
  <si>
    <t>Número de pasaportes turísticos infantiles entregados</t>
  </si>
  <si>
    <t>Conocer el número de pasaportes turísticos infantiles entregados para aumentar el interés de los niños por la cultura y el turismo, empezando por su ciudad.</t>
  </si>
  <si>
    <t>(PIE / PIPE) *100</t>
  </si>
  <si>
    <t>0 pasaportes turísticos infantiles entregados</t>
  </si>
  <si>
    <t>3,093 pasaportes turísticos infantiles entregados</t>
  </si>
  <si>
    <t>1,400 pasaportes turísticos</t>
  </si>
  <si>
    <t>4493 pasaportes turísticos infantiles entregados</t>
  </si>
  <si>
    <t>12 intervenciones y publicaciones</t>
  </si>
  <si>
    <t>50 intervenciones y publicaciones</t>
  </si>
  <si>
    <t>150 intervenciones y publicaciones</t>
  </si>
  <si>
    <t>Número de intervenciones y/o publicaciones de información turística a través de medios de comunicación</t>
  </si>
  <si>
    <t>Conocer el número de intervenciones y publicaciones de información turística realizadas a través de medios de comunicación.</t>
  </si>
  <si>
    <t>(IPR / IPP) *100</t>
  </si>
  <si>
    <t>14 intervenciones y publicaciones de información turísticas a través de medios de comunicación</t>
  </si>
  <si>
    <t>112 intervenciones y publicaciones de información turística en medios de comunicación</t>
  </si>
  <si>
    <t>84 intervenciones</t>
  </si>
  <si>
    <t>241 intervenciones y publicaciones de información turística en medios de comunicación</t>
  </si>
  <si>
    <t>1 festival</t>
  </si>
  <si>
    <t>3 festivales</t>
  </si>
  <si>
    <t>7 festivales</t>
  </si>
  <si>
    <t>Número de festivales de las cuatro estaciones realizados</t>
  </si>
  <si>
    <t>Conocer el número de Festivales de las Cuatro Estaciones realizados.</t>
  </si>
  <si>
    <t>(FR / FP) *100</t>
  </si>
  <si>
    <t>2 festivales</t>
  </si>
  <si>
    <t>3 festivales realizados de las cuatro estaciones (pasaje victoria y Chihuahua moderno con historia)</t>
  </si>
  <si>
    <t>13 artistas apoyados</t>
  </si>
  <si>
    <t xml:space="preserve">Número de artistas locales apoyados en la difusión y proyección de sus talentos </t>
  </si>
  <si>
    <t xml:space="preserve">Conocer el Número de artistas locales apoyados en la difusión y proyección de sus talentos </t>
  </si>
  <si>
    <t>(ADEN / ADAP) * 100</t>
  </si>
  <si>
    <t xml:space="preserve">105 artistas locales apoyados en la difusión y proyección de sus talentos </t>
  </si>
  <si>
    <t>78 artistas</t>
  </si>
  <si>
    <t>2 gestiones</t>
  </si>
  <si>
    <t>8 gestiones</t>
  </si>
  <si>
    <t>24 gestiones</t>
  </si>
  <si>
    <t>Número de gestiones realizadas para impulsar el desarrollo de infraestructura vial en destinos eco turísticos locales</t>
  </si>
  <si>
    <t>Conocer el número de gestiones realizadas ante autoridades correspondientes para impulsar el desarrollo de infraestructura vial en destinos eco turísticos locales.</t>
  </si>
  <si>
    <t>(GR / GP) *100</t>
  </si>
  <si>
    <t>2 gestiones realizadas para impulsar el desarrollo de infraestructura vial de destinos eco turísticos</t>
  </si>
  <si>
    <t>2 gestiones realizadas para impulsar el desarrollo de infraestructura vial en destinos eco turísticos</t>
  </si>
  <si>
    <t>19 gestiones realizadas para impulsar el desarrollo de infraestructura vial en destinos eco turísticos</t>
  </si>
  <si>
    <t>23 gestiones realizadas para impulsar el desarrollo de infraestructura vial de destinos eco turísticos</t>
  </si>
  <si>
    <t>1 programa de ecoturismo apoyado y/o promocionado</t>
  </si>
  <si>
    <t>4 programas de ecoturismo apoyados y/o promocionados</t>
  </si>
  <si>
    <t>16 programas de ecoturismo apoyados y/o promocionados</t>
  </si>
  <si>
    <t>Número de programas de ecoturismo apoyados y/o promocionados en el municipio</t>
  </si>
  <si>
    <t>Conocer el número de programas de ecoturismo apoyados y/o promocionados en el Municipio.</t>
  </si>
  <si>
    <t>(PEP / PEPP) *100</t>
  </si>
  <si>
    <t>3 programas de ecoturismo apoyados y/o promocionados</t>
  </si>
  <si>
    <t>9 programas de ecoturismo</t>
  </si>
  <si>
    <t>Actividades realizadas para la instalación de un agro parque para vinculación de empresas</t>
  </si>
  <si>
    <t>Conocer el avance de actividades en la instalación del Agro parque</t>
  </si>
  <si>
    <t>(A1 + A2 + A3 + A4 + A5) / TAAR *100</t>
  </si>
  <si>
    <t>3 actividad (conformación de la figura jurídica, conseguir el terreno, obtención del recurso financiero))</t>
  </si>
  <si>
    <t>80 huertos</t>
  </si>
  <si>
    <t>320 huertos</t>
  </si>
  <si>
    <t>960 huertos</t>
  </si>
  <si>
    <t>Número de huertos de agricultura orgánica instalados en zona rural</t>
  </si>
  <si>
    <t>Conocer el número de huertos de agricultura orgánica instalados en zona rural.</t>
  </si>
  <si>
    <t>(HI / HPI) *100</t>
  </si>
  <si>
    <t>397 huertos de agricultura orgánica instalados en la zona rural</t>
  </si>
  <si>
    <t>1189 huertos de agricultura orgánica instalados en zona rural</t>
  </si>
  <si>
    <t>2541 huertos</t>
  </si>
  <si>
    <t>1,586 huertos de agricultura orgánica instalados en la zona rural</t>
  </si>
  <si>
    <t>175,000 kg de semilla</t>
  </si>
  <si>
    <t>520,000 kg de semilla</t>
  </si>
  <si>
    <t>Cantidad de kilogramos de semilla entregados a productores agrícolas</t>
  </si>
  <si>
    <t>Conocer la cantidad de kilogramos de semilla entregada en la zona rural.</t>
  </si>
  <si>
    <t>(KFE + KAE + KAS) / KPR *100</t>
  </si>
  <si>
    <t>0 kilogramos de semilla entregados a productores agrícolas</t>
  </si>
  <si>
    <t>165,000 kilogramos de semilla entregados a productores agrícolas</t>
  </si>
  <si>
    <t>158000 kilogramos
(110000kg avena, 33000kg sorgo, 15000 frijol)</t>
  </si>
  <si>
    <t>512,500 kilogramos de semilla entregados a productores agrícolas</t>
  </si>
  <si>
    <t>333 apoyos adicionales</t>
  </si>
  <si>
    <t>1,000 apoyos adicionales</t>
  </si>
  <si>
    <t>Apoyos adicionales entregados a productores agropecuarios</t>
  </si>
  <si>
    <t>Conocer el número de apoyos gestionados y otorgados a productores agropecuarios</t>
  </si>
  <si>
    <t>(AAE / AAP) *100</t>
  </si>
  <si>
    <t>843 apoyos adicionales entregados a productores agropecuarios</t>
  </si>
  <si>
    <t>322 apoyos adicionales entregados a productores agropecuarios</t>
  </si>
  <si>
    <t>680 apoyos adicionales</t>
  </si>
  <si>
    <t>1845 apoyos adicionales entregados a productores agropecuarios</t>
  </si>
  <si>
    <t xml:space="preserve">4 proyectos </t>
  </si>
  <si>
    <t>Número de proyectos de cadenas productivas y valor agregado apoyados</t>
  </si>
  <si>
    <t>Conocer el número de proyectos de cadenas productivas y valor agregado apoyados para incentivar la comercialización en corredores comerciales.</t>
  </si>
  <si>
    <t>1 proyecto de cadena productiva y valor agregado apoyado</t>
  </si>
  <si>
    <t>0 proyectos de cadenas productivas y valor agregado apoyados</t>
  </si>
  <si>
    <t>9 proyectos</t>
  </si>
  <si>
    <t>10 proyecto de cadena productiva y valor agregado apoyado</t>
  </si>
  <si>
    <t>8 sesiones de promoción</t>
  </si>
  <si>
    <t>33 sesiones de promoción</t>
  </si>
  <si>
    <t>100 sesiones de promoción</t>
  </si>
  <si>
    <t>Número de sesiones realizadas para promover la adquisición de razas bovinas preferenciales</t>
  </si>
  <si>
    <t>Conocer el número de sesiones en donde se promociona los programas de adquisición de razas bovinas preferenciales.</t>
  </si>
  <si>
    <t>(SPR / SPP) *100</t>
  </si>
  <si>
    <t>22 sesiones realizadas para promover la adquisición de razas bovinas preferenciales</t>
  </si>
  <si>
    <t>0 sesiones realizadas para promover la adquisición de razas bovinas preferenciales</t>
  </si>
  <si>
    <t>329 productores apoyados</t>
  </si>
  <si>
    <t>900 productores apoyados</t>
  </si>
  <si>
    <t>Número de Productores apoyados con alimentos balanceados</t>
  </si>
  <si>
    <t>Conocer el número de productores ganaderos apoyados con alimentos balanceados para fomentar la producción primaria.</t>
  </si>
  <si>
    <t>744 productores ganaderos apoyados con alimentos balanceados a precio subsidiado</t>
  </si>
  <si>
    <t>0 productores apoyados con alimentos balanceados a precio subsidiado</t>
  </si>
  <si>
    <t>301 productores apoyados</t>
  </si>
  <si>
    <t>1,325 productores ganaderos apoyados con alimentos balanceados a precio subsidiado</t>
  </si>
  <si>
    <t>700 toneladas</t>
  </si>
  <si>
    <t>2100 toneladas</t>
  </si>
  <si>
    <t>Toneladas de concentrado alimenticios entregadas a través del programa 3X1 migrante y del programa subsidio social a la ganadería</t>
  </si>
  <si>
    <t>Conocer la cantidad de toneladas de concentrado alimenticio entregado, compuesto de maíz, harinolina, marmolina, salvado, minerales, vitaminas, melaza, etcétera.</t>
  </si>
  <si>
    <t>(TCAE / TCAP)*100</t>
  </si>
  <si>
    <t>901 toneladas</t>
  </si>
  <si>
    <t>0 toneladas de concentrado alimenticio entregado</t>
  </si>
  <si>
    <t>1873 toneladas</t>
  </si>
  <si>
    <t>2773 toneladas</t>
  </si>
  <si>
    <t>20 acciones de tecnificación y equipamiento</t>
  </si>
  <si>
    <t>60 acciones de tecnificación y equipamiento</t>
  </si>
  <si>
    <t>Número de acciones de tecnificación y equipamiento realizadas a las unidades de producción de ganado bovino</t>
  </si>
  <si>
    <t>Conocer el número de acciones de tecnificación y equipamiento de unidades de producción de ganado bovino otorgadas para elevar eficiencia productiva del hato.</t>
  </si>
  <si>
    <t>(ATER / ATPR) *100</t>
  </si>
  <si>
    <t>0 acciones de tecnificación y equipamiento realizadas a las unidades de producción de ganado bovino</t>
  </si>
  <si>
    <t>35 acciones de tecnificación y equipamiento realizadas a las unidades de producción de ganado bovino</t>
  </si>
  <si>
    <t>6 acciones de tecnificación</t>
  </si>
  <si>
    <t>50 acciones de tecnificación y equipamiento realizadas a las unidades de producción de ganado bovino</t>
  </si>
  <si>
    <t>5 bordos</t>
  </si>
  <si>
    <t>15 bordos</t>
  </si>
  <si>
    <t>40 bordos</t>
  </si>
  <si>
    <t>Bordos para abrevadero construidos para almacenamiento de agua para ganado</t>
  </si>
  <si>
    <t>Conocer el número bordos para abrevadero construidos para almacenamiento de agua para ganado.</t>
  </si>
  <si>
    <t>(BAC / BAP) *100</t>
  </si>
  <si>
    <t>6 bordos para abrevadero</t>
  </si>
  <si>
    <t>20 bordos para abrevadero construidos</t>
  </si>
  <si>
    <t>46 bordos para abrevadero construidos</t>
  </si>
  <si>
    <t>Número de proyectos apoyados para desarrollo de actividades productivas dirigidos a mujeres de la zona rural</t>
  </si>
  <si>
    <t>Conocer el número de proyectos apoyados para desarrollo de actividades económicas productivas dirigidos para mujeres en el sector rural.</t>
  </si>
  <si>
    <t>(PDAR / PDAP) *100</t>
  </si>
  <si>
    <t>2 proyectos apoyados para desarrollo de actividades productivas dirigido a mujeres de la zona rural</t>
  </si>
  <si>
    <t>21 proyectos apoyados para desarrollo de actividades productivas dirigidos a mujeres de zona rural</t>
  </si>
  <si>
    <t>44 proyectos apoyados para desarrollo de actividades productivas dirigido a mujeres de la zona rural</t>
  </si>
  <si>
    <t>1 proyecto productivo</t>
  </si>
  <si>
    <t>3 proyectos productivos</t>
  </si>
  <si>
    <t>9 proyectos productivos</t>
  </si>
  <si>
    <t>Número de proyectos productivos apoyados para la formación de capital humano y desarrollo de capacidad de autogestión en zona rural</t>
  </si>
  <si>
    <t>Conocer el número de proyectos productivos apoyados para de capital humano y la capacidad de autogestión en la zona rural.</t>
  </si>
  <si>
    <t>(PPAP / PPPA) *100</t>
  </si>
  <si>
    <t>2 proyectos productivos apoyado para la formación de capital humano y desarrollo de capacidad de autogestión en zona rural</t>
  </si>
  <si>
    <t>0 proyectos productivos apoyados  para la formación de capital humano y desarrollo de capacidad de autogestión en zona rural</t>
  </si>
  <si>
    <t>6 proyectos productivos apoyado para la formación de capital humano y desarrollo de capacidad de autogestión en zona rural</t>
  </si>
  <si>
    <t>10 talleres de artes y oficios</t>
  </si>
  <si>
    <t>Instalación de escuela de artes y oficios en zona rural</t>
  </si>
  <si>
    <t>Conocer el avance de las acciones que impulsen el desarrollo productivo del sector rural a través de escuelas de artes y oficios.</t>
  </si>
  <si>
    <t>(EAOI / EAOP) *100</t>
  </si>
  <si>
    <t>0 escuelas de artes y oficios instaladas en zona rural</t>
  </si>
  <si>
    <t>10 talleres de artes y oficios instaladas en zona rural</t>
  </si>
  <si>
    <t>80% de acuerdos atendidos</t>
  </si>
  <si>
    <t>Porcentaje de acuerdos atendidos contra acuerdos tomados del Consejo de Desarrollo Rural Sustentable</t>
  </si>
  <si>
    <t>Conocer el número y porcentaje de acuerdos atendidos en relación con los acuerdos tomados en las Sesiones del Consejo de Desarrollo Rural Sustentable del Municipio de Chihuahua.</t>
  </si>
  <si>
    <t>(ACAT / ACTO) *100</t>
  </si>
  <si>
    <t>80% de acuerdos atendidos en relación a acuerdos tomados del Consejo de Desarrollo Rural Sustentable</t>
  </si>
  <si>
    <t>0 acuerdos atendidos del Consejo de Desarrollo Rural Sustentable</t>
  </si>
  <si>
    <t>1 programas de capacitación y certificación</t>
  </si>
  <si>
    <t>4 programas de capacitación y certificación</t>
  </si>
  <si>
    <t>Programas de capacitación y certificación en competencia laboral desarrollados</t>
  </si>
  <si>
    <t>Conocer el número de programas de capacitación y certificación en competencias laborales y procesos productivos desarrollados.</t>
  </si>
  <si>
    <t>(PCAD + PCED)/PCCP *100</t>
  </si>
  <si>
    <t>1 programa de capacitación en competencia laboral desarrollado</t>
  </si>
  <si>
    <t>0 programas de capacitación y certificación en competencia laboral desarrollados</t>
  </si>
  <si>
    <t>3 programas de capacitación</t>
  </si>
  <si>
    <t>13 programas de capacitación en competencia laboral desarrollado</t>
  </si>
  <si>
    <t>1 proyecto productivo sustentable</t>
  </si>
  <si>
    <t>1 proyectos productivos sustentables</t>
  </si>
  <si>
    <t>3 proyectos productivos sustentables</t>
  </si>
  <si>
    <t>Número de proyectos productivos sustentables otorgados a jóvenes de la zona rural</t>
  </si>
  <si>
    <t>Conocer el número de proyectos productivos sustentables otorgados a jóvenes de la zona rural para mejorar sus ingresos.</t>
  </si>
  <si>
    <t>(PPOT / PPPO) *100</t>
  </si>
  <si>
    <t>1 proyecto productivo sustentable otorgado a jóvenes de la zona rural</t>
  </si>
  <si>
    <t>0 proyectos productivos sustentables otorgados a jóvenes de la zona rural</t>
  </si>
  <si>
    <t>2 proyectos productivos</t>
  </si>
  <si>
    <t>4 proyecto productivo sustentable otorgado a jóvenes de la zona rural</t>
  </si>
  <si>
    <t>200 asesorías</t>
  </si>
  <si>
    <t>500 asesorías</t>
  </si>
  <si>
    <t>Asesorías otorgadas como parte de la tecnificación y capacitación en el uso de fertilizantes adecuados</t>
  </si>
  <si>
    <t>Conocer el número de asesorías otorgadas a productores como parte de la tecnificación y capacitación en el uso de fertilizantes adecuados.</t>
  </si>
  <si>
    <t>(AO / APO ) * 100</t>
  </si>
  <si>
    <t>0 asesorías otorgadas como parte de la tecnificación y capacitación en el uso de fertilizantes adecuados</t>
  </si>
  <si>
    <t>100 asesorías otorgadas como parte de la tecnificación y capacitación en el uso de fertilizantes adecuados</t>
  </si>
  <si>
    <t>171 asesorías</t>
  </si>
  <si>
    <t>442 asesorías otorgadas como parte de la tecnificación y capacitación en el uso de fertilizantes adecuados</t>
  </si>
  <si>
    <t>5 apriscos construidos</t>
  </si>
  <si>
    <t>Número de apriscos y bodegas construidos</t>
  </si>
  <si>
    <t>Conocer el número de bodegas o apriscos construidos para acopiar y resguardar la producción.</t>
  </si>
  <si>
    <t>(BRCR + ARCR) / TBAP *100</t>
  </si>
  <si>
    <t>5 apriscos</t>
  </si>
  <si>
    <t>3 bodegas</t>
  </si>
  <si>
    <t>5 bodegas</t>
  </si>
  <si>
    <t>Número de bodegas construidas</t>
  </si>
  <si>
    <t>Conocer el número de bodegas construidas para acopiar y resguardar la producción.</t>
  </si>
  <si>
    <t>(TBC / TBP *100</t>
  </si>
  <si>
    <t>0 bodegas</t>
  </si>
  <si>
    <t>0 bodegas construidas</t>
  </si>
  <si>
    <t>1 bodega</t>
  </si>
  <si>
    <t>Oficialía Mayor</t>
  </si>
  <si>
    <t>GOBIERNO INCLUYENTE Y EFICIENTE</t>
  </si>
  <si>
    <t>1 actualizaciones de manual</t>
  </si>
  <si>
    <t>5 actualizaciones de manual</t>
  </si>
  <si>
    <t>16 actualizaciones de manual</t>
  </si>
  <si>
    <t>Actualizaciones a los manuales de organización de las dependencias municipales.</t>
  </si>
  <si>
    <t>Conocer el número de manuales de organización elaborados y/o actualizados de las dependencias y organismos descentralizados del Municipio.</t>
  </si>
  <si>
    <t>(ADOP / ADOE) *100</t>
  </si>
  <si>
    <t>2 manuales de organización actualizados (Mantenimiento Urbano y Obras Públicas)</t>
  </si>
  <si>
    <t>0 manuales de organización actualizados</t>
  </si>
  <si>
    <t>8 manuales de organización actualizados (Mantenimiento Urbano, Obras Públicas, Despacho del C. Presidente Municipal, Coordinación de Relaciones Públicas, Coordinación de Comunicación Social, Dirección de Planeación y Evaluación y Oficialía Mayor)</t>
  </si>
  <si>
    <t>0.75 obras de rehabilitación</t>
  </si>
  <si>
    <t>3 obras de rehabilitación</t>
  </si>
  <si>
    <t>9 obras de rehabilitación</t>
  </si>
  <si>
    <t>Obras de rehabilitación y mantenimiento de oficinas públicas</t>
  </si>
  <si>
    <t>Conocer el número de obras de rehabilitación y mantenimiento de oficinas públicas.</t>
  </si>
  <si>
    <t>(ORMR / ORMP) *100</t>
  </si>
  <si>
    <t>0 obras de rehabilitación</t>
  </si>
  <si>
    <t xml:space="preserve">1 remodelación </t>
  </si>
  <si>
    <t>1 trámite</t>
  </si>
  <si>
    <t>5 trámites</t>
  </si>
  <si>
    <t>15 trámites</t>
  </si>
  <si>
    <t>Número de principales trámites administrativos simplificados o mejorados</t>
  </si>
  <si>
    <t>Conocer el número de principales trámites administrativos del Municipio simplificados y/o mejorados.</t>
  </si>
  <si>
    <t>(TSM / TPSM) *100</t>
  </si>
  <si>
    <t>8 trámites</t>
  </si>
  <si>
    <t>9 trámites mejorados</t>
  </si>
  <si>
    <t>6 trámite administrativo mejorado (Transferencias, Pago en Línea del Municipio de Chihuahua)</t>
  </si>
  <si>
    <t>23 trámites mejorados</t>
  </si>
  <si>
    <t>5 áreas administrativas a capacitar</t>
  </si>
  <si>
    <t>16 áreas administrativas a capacitar</t>
  </si>
  <si>
    <t>Áreas administrativas capacitadas para la implementación de P.B.R.</t>
  </si>
  <si>
    <t>Conocer el número de Dependencias y Organismos Municipales capacitados para la implementación del P.B.R.</t>
  </si>
  <si>
    <t>(AAC / AAPC) *100</t>
  </si>
  <si>
    <t>0 áreas administrativas capacitadas</t>
  </si>
  <si>
    <t>16 áreas administrativas capacitadas (Capacitación en Sistema POAS para los administrativos de las dependencias)</t>
  </si>
  <si>
    <t>16 áreas administrativas</t>
  </si>
  <si>
    <t>38 áreas administrativas capacitadas</t>
  </si>
  <si>
    <t>38 áreas administrativas capacitadas (Capacitación en Sistema POAS para los administrativos de las dependencias)</t>
  </si>
  <si>
    <t>Implementación del sistema para digitalizar la expedición de cartas de no antecedentes policiacos, residencia, identidad y honestidad</t>
  </si>
  <si>
    <t>Conocer el avance en la implementación del sistema para digitalizar la expedición de cartas de no antecedentes policiacos, residencia, identidad y honestidad.</t>
  </si>
  <si>
    <t>(DSA + ADNS + CSF + AEPS + CUP + IMS) / TADC *100</t>
  </si>
  <si>
    <t>6 actividades realizadas, sistema de digitalización de cartas implementado</t>
  </si>
  <si>
    <t>6 actividades realizadas (Sistema de Cartas ya fue digitalizado)</t>
  </si>
  <si>
    <t>120 bienes inmuebles actualizados</t>
  </si>
  <si>
    <t>480 bienes inmuebles actualizados</t>
  </si>
  <si>
    <t>1140 bienes inmuebles actualizados</t>
  </si>
  <si>
    <t>Número de bienes inmuebles del patrimonio municipal actualizados</t>
  </si>
  <si>
    <t>Conocer el número de bienes inmuebles del patrimonio municipal que han sido actualizados</t>
  </si>
  <si>
    <t>(BIAC / BIPR) * 100</t>
  </si>
  <si>
    <t>417 bienes inmuebles actualizados</t>
  </si>
  <si>
    <t>352 bienes inmuebles actualizados</t>
  </si>
  <si>
    <t>0 inmuebles actualizado</t>
  </si>
  <si>
    <t>769 bienes inmuebles actualizados</t>
  </si>
  <si>
    <t>Mejoramiento de los formatos para realización de estudios socioeconómicos.</t>
  </si>
  <si>
    <t>Conocer el mejoramiento en la verificación de la información a solicitantes de apoyos sociales.</t>
  </si>
  <si>
    <t>(AAO + DME + ILM) / TAIS *100</t>
  </si>
  <si>
    <t>2 actividades para mejoramiento de lineamientos para verificación de información socioeconómica y demográfica de los solicitantes de apoyos sociales</t>
  </si>
  <si>
    <t>1 actividad (implementación de lineamientos mejorados)</t>
  </si>
  <si>
    <t>3 actividades realizadas (YA se mejoraron los lineamientos para verificación de información socioeconómica).</t>
  </si>
  <si>
    <t>5 usuarios de sistemas capacitados</t>
  </si>
  <si>
    <t>16 usuarios de sistemas capacitados</t>
  </si>
  <si>
    <t>Número de usuarios de sistemas administrativos capacitados</t>
  </si>
  <si>
    <t>Conocer el número de usuarios de sistemas administrativos capacitados para el uso de los mismos.</t>
  </si>
  <si>
    <t>(USAC / USAPC) *100</t>
  </si>
  <si>
    <t>9 usuarios de sistemas capacitados</t>
  </si>
  <si>
    <t>16 usuarios de sistemas administrativos capacitados</t>
  </si>
  <si>
    <t>23 usuarios de sistemas administrativos capacitados</t>
  </si>
  <si>
    <t>25 usuarios de sistemas administrativos capacitados</t>
  </si>
  <si>
    <t>8 cursos de capacitación</t>
  </si>
  <si>
    <t>32 cursos de capacitación</t>
  </si>
  <si>
    <t>96 cursos de capacitación</t>
  </si>
  <si>
    <t>Número de cursos de capacitación impartidos al personal del municipio</t>
  </si>
  <si>
    <t>Conocer el número de cursos de capacitación impartidos a servidores públicos municipales.</t>
  </si>
  <si>
    <t>(CCRR / CCPP) *100</t>
  </si>
  <si>
    <t>47 cursos de capacitación</t>
  </si>
  <si>
    <t>16 cursos de capacitación realizados (Comunicación Asertiva, Comunicación Asertiva 1, Comunicación Asertiva 2, Trabajo en Equipo, Mujer Estrés y Resilencia, Manejo y Solución de Conflictos, Liderazago, Fundamentos de Administración Pública y Manejor de Recursos Gubernamentales)</t>
  </si>
  <si>
    <t>66 cursos de capacitación</t>
  </si>
  <si>
    <t>137 cursos de capacitación</t>
  </si>
  <si>
    <t>Coordinación de Comunicación Social</t>
  </si>
  <si>
    <t>364 comunicados</t>
  </si>
  <si>
    <t>1,456 comunicados</t>
  </si>
  <si>
    <t>4,368 comunicados</t>
  </si>
  <si>
    <t>Número de comunicados de prensa emitidos para la difusión del sentido social e imagen corporativa del municipio</t>
  </si>
  <si>
    <t>Conocer el total de comunicados de prensa enviados a los medios de comunicación para difusión de la Administración Municipal.</t>
  </si>
  <si>
    <t>(CE / CP) *100</t>
  </si>
  <si>
    <t>1502 comunicados de prensa emitidos para difusión del municipio</t>
  </si>
  <si>
    <t>926 comunicados</t>
  </si>
  <si>
    <t>739 comunicados</t>
  </si>
  <si>
    <t>3167 comunicados de prensa emitidos para difusión del municipio</t>
  </si>
  <si>
    <t>4 cursos</t>
  </si>
  <si>
    <t>12 cursos</t>
  </si>
  <si>
    <t>Número de cursos impartidos para la sensibilización del buen trato a ciudadanos</t>
  </si>
  <si>
    <t>Conocer el  número de cursos impartidos para la sensibilización del buen trato a ciudadanos.</t>
  </si>
  <si>
    <t>(CUIM / CURP) *100</t>
  </si>
  <si>
    <t>1 curso de buen trato a ciudadanos realizados</t>
  </si>
  <si>
    <t>7 cursos para buen trato a ciudadanos realizados</t>
  </si>
  <si>
    <t>25 servidores públicos</t>
  </si>
  <si>
    <t>300 servidores públicos</t>
  </si>
  <si>
    <t>Número de servidores públicos capacitados sobre la transversalización de la equidad de género</t>
  </si>
  <si>
    <t>Conocer el número de servidores públicos capacitados sobre transversalización de la equidad de género.</t>
  </si>
  <si>
    <t>49 servidores públicos capacitados sobre la transversalización de la equidad de género.</t>
  </si>
  <si>
    <t>302servidores públicos capacitados sobre transversalización de la equidad de género</t>
  </si>
  <si>
    <t>86 servidores públicos capacitados sobre transversalización de la equidad de género</t>
  </si>
  <si>
    <t>437 servidores públicos capacitados sobre transversalización de la equidad de género</t>
  </si>
  <si>
    <t>Número de certificaciones y/o recertificaciones de sistemas de gestión de calidad</t>
  </si>
  <si>
    <t>Conocer el número de certificaciones y/o recertificaciones de sistemas de gestión de calidad realizadas.</t>
  </si>
  <si>
    <t>(CRR / CRP)*100</t>
  </si>
  <si>
    <t>1 certificación</t>
  </si>
  <si>
    <t>0 certificaciones realizadas</t>
  </si>
  <si>
    <t>2 certificación del Instituto Municipal de Pensiones</t>
  </si>
  <si>
    <t>3 certificación</t>
  </si>
  <si>
    <t>6 áreas con nuevas herramientas tecnológicas</t>
  </si>
  <si>
    <t>23 áreas con nuevas herramientas tecnológicas</t>
  </si>
  <si>
    <t>Número de áreas de las dependencias y organismos municipales con nuevas herramientas tecnológicas implementadas para su funcionamiento</t>
  </si>
  <si>
    <t>Conocer el número de áreas pertenecientes a las Dependencias y Organismos Municipales, que estén utilizando nuevas herramientas tecnológicas.</t>
  </si>
  <si>
    <t>(AHT / AHTP) *100</t>
  </si>
  <si>
    <t>11 áreas con nuevas herramientas tecnológicas</t>
  </si>
  <si>
    <t>24 áreas con nuevas herramientas tecnológicas</t>
  </si>
  <si>
    <t>25 áreas administrativas con herramientas tecnológicas</t>
  </si>
  <si>
    <t>50 áreas con nuevas herramientas tecnológicas</t>
  </si>
  <si>
    <t>Número de áreas administrativas utilizando nuevo sistema integral administrativo</t>
  </si>
  <si>
    <t>Conocer el número de áreas administrativas de las Dependencias y Organismos del Municipio que han sido activadas para utilizar el nuevo sistema integral administrativo.</t>
  </si>
  <si>
    <t>(AACT / AAPT) *100</t>
  </si>
  <si>
    <t>0 áreas administrativas con nuevo sistema integral administrativo</t>
  </si>
  <si>
    <t>16 áreas administrativas con nuevo sistema integral administrativo</t>
  </si>
  <si>
    <t>100 equipos de cómputo de nuevos</t>
  </si>
  <si>
    <t>300 equipos de cómputo nuevos</t>
  </si>
  <si>
    <t>Número de nuevos equipos de cómputo instalados en dependencias y organismos municipales</t>
  </si>
  <si>
    <t>Conocer el número de nuevos equipos de cómputo instalados en dependencias y organismos municipales.</t>
  </si>
  <si>
    <t>(ECI / ECPI) *100</t>
  </si>
  <si>
    <t>73 nuevos equipos de cómputo instalados</t>
  </si>
  <si>
    <t>282 nuevos equipos de cómputo instalados</t>
  </si>
  <si>
    <t>242 equipos de cómputo</t>
  </si>
  <si>
    <t>554 nuevos equipos de cómputo instalados</t>
  </si>
  <si>
    <t>1 acción para ahorro de energía</t>
  </si>
  <si>
    <t>3 acciones para ahorro de energía</t>
  </si>
  <si>
    <t>Acciones de ahorro de energía en instalaciones municipales</t>
  </si>
  <si>
    <t>Conocer el número de acciones realizadas para promover el ahorro de energía en instalaciones municipales.</t>
  </si>
  <si>
    <t>(AAER / AAEP) *100</t>
  </si>
  <si>
    <t>0 acciones de ahorro de energía en instalaciones municipales</t>
  </si>
  <si>
    <t xml:space="preserve"> 2 acción para ahorro de energía realizada</t>
  </si>
  <si>
    <t>1 acción de ahorro de energía</t>
  </si>
  <si>
    <t>3 acción para ahorro de energía realizada</t>
  </si>
  <si>
    <t>350 equipos instalados o reubicados</t>
  </si>
  <si>
    <t>Número de equipos instalados o reubicados para incrementar la cobertura de la red digital gratuita del municipio</t>
  </si>
  <si>
    <t>Conocer el número de equipos instalados o reubicados para incrementar la cobertura de la red digital gratuita del Municipio.</t>
  </si>
  <si>
    <t>(ENI / EPAI) *100</t>
  </si>
  <si>
    <t>0 equipos instalados o reubicados para red digital gratuita</t>
  </si>
  <si>
    <t>222 puntos de internet gratuitos</t>
  </si>
  <si>
    <t>305 equipos instalados o reubicados para red digital gratuita</t>
  </si>
  <si>
    <t>3 trámites y/o servicios</t>
  </si>
  <si>
    <t>10 trámites y/o servicios</t>
  </si>
  <si>
    <t>Número de trámites y/o servicios incorporados al portal electrónico de internet del municipio</t>
  </si>
  <si>
    <t>Conocer el número de nuevos trámites y/o servicios que han sido incorporados al portal electrónico de internet del Municipio, para realizarse en línea.</t>
  </si>
  <si>
    <t>(TSIP / TSPIP) *100</t>
  </si>
  <si>
    <t>7 trámites y/o servicios para portal de internet incorporados (Sistema de Beneficiarios: Discapacidad, Académicas, Adulto Mayor y Deportivas, Sistema de Empleo)</t>
  </si>
  <si>
    <t>11 trámites y/o servicios para portal de internet incorporados</t>
  </si>
  <si>
    <t>10 eventos</t>
  </si>
  <si>
    <t>Número de eventos de alfabetización digital realizados</t>
  </si>
  <si>
    <t>Conocer el número de eventos realizados para la promoción de la alfabetización digital.</t>
  </si>
  <si>
    <t>(EARE / EAPR) *100</t>
  </si>
  <si>
    <t>5 eventos de alfabetización digital</t>
  </si>
  <si>
    <t>5 eventos de alfabetización</t>
  </si>
  <si>
    <t>12 eventos de alfabetización digital</t>
  </si>
  <si>
    <t>22 eventos de alfabetización digital</t>
  </si>
  <si>
    <t>3 nuevos canales de interacción</t>
  </si>
  <si>
    <t>9 nuevos canales de interacción</t>
  </si>
  <si>
    <t>Número de nuevos canales de interacción para realizar trámites, obtener información o reportar emergencias</t>
  </si>
  <si>
    <t>Conocer el número de nuevos canales de interacción con la ciudadanía para realizar trámites, obtener información o reportar emergencias.</t>
  </si>
  <si>
    <t>(MII / MIP) / *100</t>
  </si>
  <si>
    <t>2 nuevos canales de interacción con la ciudadanía</t>
  </si>
  <si>
    <t>7 canales de interacción con la ciudadanía implementados</t>
  </si>
  <si>
    <t>10 nuevos canales de interacción con la ciudadanía</t>
  </si>
  <si>
    <t>90% solicitudes canalizadas</t>
  </si>
  <si>
    <t>Interlocución de demandas ciudadanas con empleo de medios de comunicación</t>
  </si>
  <si>
    <t>Conocer el número porcentaje de solicitudes (demandas ciudadanas) canalizadas, contra las recibidas por medio electrónico e impreso.</t>
  </si>
  <si>
    <t>(SDR + SIR) / SA *100</t>
  </si>
  <si>
    <t>100% solicitudes ciudadanas recibidas y canalizadas (299 solicitudes recibidas y atendidas)</t>
  </si>
  <si>
    <t>100% solicitudes ciudadanas recibidas y canalizadas (830 solicitudes recibidas y atendidas)</t>
  </si>
  <si>
    <t>100% (135 solicitudes recibidas y atendidas)</t>
  </si>
  <si>
    <t>270 monitoreos</t>
  </si>
  <si>
    <t>1,095 monitoreos</t>
  </si>
  <si>
    <t>3,285 monitoreo</t>
  </si>
  <si>
    <t>Número de monitoreos realizados en medios de comunicación para detección de denuncias ciudadanas</t>
  </si>
  <si>
    <t>Conocer el número de monitoreo realizados en medios digitales, impresos, radiofónicos y televisivos a fin de detectar denuncias ciudadanas.</t>
  </si>
  <si>
    <t>(MR / MP) *100</t>
  </si>
  <si>
    <t>1649 monitoreos realizados en medios de comunicación para detección de denuncias ciudadanas</t>
  </si>
  <si>
    <t>1080 monitoreos realizados en medios de comunicación</t>
  </si>
  <si>
    <t>637 monitoreos</t>
  </si>
  <si>
    <t>3366 monitoreos realizados en medios de comunicación para detección de denuncias ciudadanas</t>
  </si>
  <si>
    <t>13 reportes</t>
  </si>
  <si>
    <t>52 reportes</t>
  </si>
  <si>
    <t>156 reportes</t>
  </si>
  <si>
    <t>Número de reportes realizados sobre impacto en redes sociales de las actividades del municipio</t>
  </si>
  <si>
    <t>Conocer el número de reportes realizados, para medir el impacto generado por las actividades del gobierno municipal en redes sociales.</t>
  </si>
  <si>
    <t>( RR / RP ) *100</t>
  </si>
  <si>
    <t>21 reportes</t>
  </si>
  <si>
    <t>51 reportes sobre impacto en redes sociales</t>
  </si>
  <si>
    <t>27 reportes</t>
  </si>
  <si>
    <t>99 reportes sobre impacto en redes sociales</t>
  </si>
  <si>
    <t>Tesorería Municipal</t>
  </si>
  <si>
    <t>83 visitas</t>
  </si>
  <si>
    <t>332 visitas</t>
  </si>
  <si>
    <t>996 visitas</t>
  </si>
  <si>
    <t>Número de visitas de "Puntos de acceso" para cumplimiento de obligaciones fiscales realizadas a colonias</t>
  </si>
  <si>
    <t>Conocer el número de visitas de "puntos de acceso" para cumplimiento de obligaciones fiscales realizadas a colonias, con la finalidad de estar cerca de los contribuyentes, y mejorar la recaudación.</t>
  </si>
  <si>
    <t>(VRCO / VPCO) * 100</t>
  </si>
  <si>
    <t>276 visitas de puntos de acceso para cumplimiento de obligaciones fiscales realizadas a colonias</t>
  </si>
  <si>
    <t xml:space="preserve">222 visitas de puente de acceso </t>
  </si>
  <si>
    <t>91 visitas de puntos de acceso</t>
  </si>
  <si>
    <t>589 visitas de puntos de acceso para cumplimiento de obligaciones fiscales realizadas a colonias</t>
  </si>
  <si>
    <t>Modernización de sistema de consultas y pagos vía internet</t>
  </si>
  <si>
    <t>Conocer el avance en la modernización del sistema de consultas y pagos vía internet.</t>
  </si>
  <si>
    <t>(TANPA + DERE + APRB + SELB + ANLS + DESS + ETAB + IMSI ) /  TAMP  *100</t>
  </si>
  <si>
    <t>8 actividades (Sistema de consultas y pagos vía internet ya fue modernizado) TERMINADO</t>
  </si>
  <si>
    <t>8 actividades realizadas (Sistema de consultas y pagos a través de internet MODERNIZADO)</t>
  </si>
  <si>
    <t>Implementación del certificado fiscal digital de pago a través de internet</t>
  </si>
  <si>
    <t>Conocer el avance en la implementación del certificado fiscal digital de pago a través de internet.</t>
  </si>
  <si>
    <t>(ANAC+ DERE + ANAS + DSIS +ETPR + IDSI) / TACD * 100</t>
  </si>
  <si>
    <t>6 actividades (certificado fiscal digital de pago a través de internet ya implementado) TERMINADO</t>
  </si>
  <si>
    <t>6 actividades realizadas (Certificado fiscal digital en todas las formas de pago a través del portal de internet IMPLEMENTADO)</t>
  </si>
  <si>
    <t>20,000 predios revisados y actualizados</t>
  </si>
  <si>
    <t>80,000 predios revisados y actualizados</t>
  </si>
  <si>
    <t>240,000 predios revisados y actualizados</t>
  </si>
  <si>
    <t>Número de predios del padrón catastral revisados y actualizados para mejorar cobro de predial</t>
  </si>
  <si>
    <t>Conocer el número de predios del padrón catastral revisados y actualizados para eficientar el cobro del impuesto predial.</t>
  </si>
  <si>
    <t>(PRRE / PPRE) *100</t>
  </si>
  <si>
    <t>76415 predios revisados y actualizados</t>
  </si>
  <si>
    <t>19592 predios revisados y actualizados</t>
  </si>
  <si>
    <t>Actividades para innovar en materia del impuesto sobre traslación de dominio (ISTD) para maximizar ingresos</t>
  </si>
  <si>
    <t>Conocer el avance en las actividades que se desarrollen con el objeto de innovar en materia del impuesto sobre traslación de dominio "ISTD" para elevar o maximizar los ingresos del Municipio.</t>
  </si>
  <si>
    <t>(ANLE + DRPI + ETPR + MRNE) / TAII *100</t>
  </si>
  <si>
    <t>1 actividad (diagnóstico y requerimientos para implementación)</t>
  </si>
  <si>
    <t>Autonomía financiera de 25%  o más de ingresos propios sobre totales</t>
  </si>
  <si>
    <t>Porcentaje de ingresos propios contra los ingresos totales del municipio</t>
  </si>
  <si>
    <t>Conocer el porcentaje que existe entre los ingresos propios respecto de los totales, para definir el nivel de autonomía financiera del Municipio, respecto a la línea base o meta total.</t>
  </si>
  <si>
    <t>AUFI = (IPRO / ITRE) *100</t>
  </si>
  <si>
    <t>43 % de Ingresos Propios recaudados ($853,744,629) contra Ingresos Totales recaudados ($1,973,189,228)</t>
  </si>
  <si>
    <t>41% ingresos propios recaudados $1,065,089,775 ingresos totales recaudados $2,594,504,091</t>
  </si>
  <si>
    <t>Ejecución del presupuesto igual o mayor al 90%</t>
  </si>
  <si>
    <t>Porcentaje de avance de gasto en relación con presupuesto calendarizado</t>
  </si>
  <si>
    <t>Conocer el avance del gasto en relación con el presupuesto calendarizado.</t>
  </si>
  <si>
    <t>PPEJ = ( PREJ / PRET ) * 100</t>
  </si>
  <si>
    <t>70.40% del presupuesto ejercido contra el Presupuesto Total</t>
  </si>
  <si>
    <t>107.45% del presupuesto ejercido ($2,501,291,204.56) contra el presupuesto total ($2,327,938,005)</t>
  </si>
  <si>
    <t>Recursos totales recibidos mayores a recursos convenidos</t>
  </si>
  <si>
    <t>Incremento del monto total de recursos recibidos sobre los convenidos</t>
  </si>
  <si>
    <t>Conocer el nivel de aumento de los recursos convenidos con diferentes niveles de gobierno para el financiamiento de obras y proyectos.</t>
  </si>
  <si>
    <t>(RETR / RECO ) * 100 - 100</t>
  </si>
  <si>
    <t>Pendiente</t>
  </si>
  <si>
    <t>Recursos presupuestados convenidos ($1,254,818,716) recursos totales recibidos ($1,353,414,316)</t>
  </si>
  <si>
    <t>119.18% ($503,127,833 recursos convenidos, $599,628,537.6 recursos totales recibidos)</t>
  </si>
  <si>
    <t>Cumplimiento de la nueva Ley General de Contabilidad Gubernamental mediante la implementación de un sistema y capacitación al personal para su uso</t>
  </si>
  <si>
    <t>Verificar que se realicen las actividades para la implementación de un sistema que permita dar cumplimiento a la nueva Ley General de Contabilidad Gubernamental.</t>
  </si>
  <si>
    <t>( ANPR + IDES + IMSI + CAPS + GENR ) / TASI * 100</t>
  </si>
  <si>
    <t>3 actividades (análisis del proceso actual, identificación de requerimiento para implementación del sistema, capacitación a servidores públicos)</t>
  </si>
  <si>
    <t>Dirección de Planeación y Evaluación</t>
  </si>
  <si>
    <t>4 reportes</t>
  </si>
  <si>
    <t>16 reportes</t>
  </si>
  <si>
    <t>50 reportes</t>
  </si>
  <si>
    <t>Número de reportes del estatus de aprobación y avance financiero de obras realizados</t>
  </si>
  <si>
    <t>Identificar el número de reportes de estatus de aprobación y avance financiero de obras de inversión realizados</t>
  </si>
  <si>
    <t>(RR / RPR) *100</t>
  </si>
  <si>
    <t>9 reportes de estatus de aprobación realizados</t>
  </si>
  <si>
    <t>8 reportes</t>
  </si>
  <si>
    <t>29 reportes de estatus de aprobación realizados</t>
  </si>
  <si>
    <t>9 días en promedio</t>
  </si>
  <si>
    <t xml:space="preserve">Tiempo promedio sobre trámites de pago de anticipo de obra </t>
  </si>
  <si>
    <t>Conocer la eficiencia con que se realizan los pagos de anticipo de obra, a través del tiempo promedio en que se lleva a cabo cada trámite.</t>
  </si>
  <si>
    <t>(TGT/NTR)</t>
  </si>
  <si>
    <t>4.5 días promedio</t>
  </si>
  <si>
    <t>4.5 días</t>
  </si>
  <si>
    <t>4.5  días</t>
  </si>
  <si>
    <t>5 asesorías</t>
  </si>
  <si>
    <t>20 asesorías</t>
  </si>
  <si>
    <t>60 asesorías</t>
  </si>
  <si>
    <t>Número de asesorías impartidas a las dependencias y organismos municipales para un ejercicio eficiente de los recursos presupuestales.</t>
  </si>
  <si>
    <t>Conocer el número de asesorías impartidas a las dependencias y organismos municipales, en donde se les da a conocer los procesos y las variables que pueden determinar la viabilidad y acceso a programas estatales y federales de inversión.</t>
  </si>
  <si>
    <t>(AI / API) *100</t>
  </si>
  <si>
    <t>5 asesorías a dependencias sobre lineamientos de programas de inversión</t>
  </si>
  <si>
    <t>11 asesorías a dependencias</t>
  </si>
  <si>
    <t>32 asesorías a dependencias sobre lineamientos de programas de inversión</t>
  </si>
  <si>
    <t>10 días promedio por trámite</t>
  </si>
  <si>
    <t>Tiempo promedio por trámite de autorización y/o modificación presupuestal de obras</t>
  </si>
  <si>
    <t>Conocer la eficiencia en los procesos de autorización y de modificaciones presupuestales en las obras, a través del tiempo que en promedio se lleva cada trámite.</t>
  </si>
  <si>
    <t xml:space="preserve">(TGA / NTA) = Tiempo promedio por trámite      </t>
  </si>
  <si>
    <t>Resultado igual a 10 días o menos</t>
  </si>
  <si>
    <t>5 días promedio por trámite de autorización y/o modificación presupuestal de obras</t>
  </si>
  <si>
    <t>20.9 días</t>
  </si>
  <si>
    <t>20.9días promedio por trámite de autorización y/o modificación presupuestal de obras</t>
  </si>
  <si>
    <t>1 informe</t>
  </si>
  <si>
    <t>4 informes</t>
  </si>
  <si>
    <t>12 informes</t>
  </si>
  <si>
    <t>Número de informes presupuestales y ejecución de gasto presentados en transparencia</t>
  </si>
  <si>
    <t>Conocer el número de informes presupuestales y ejecución del gasto presentados en transparencia.</t>
  </si>
  <si>
    <t>(IFPR / IAPP) * 100</t>
  </si>
  <si>
    <t>5 informes presupuestales y de ejecución de gasto presentados en transparencia</t>
  </si>
  <si>
    <t>2 informe</t>
  </si>
  <si>
    <t>9 informes presupuestales y de ejecución de gasto presentados en transparencia</t>
  </si>
  <si>
    <t>1 actualización</t>
  </si>
  <si>
    <t xml:space="preserve">4 actualizacio- nes </t>
  </si>
  <si>
    <t xml:space="preserve">12 Actualizacio- nes </t>
  </si>
  <si>
    <t>Actualizaciones de información pública de oficio en portal de internet del municipio</t>
  </si>
  <si>
    <t>Verificar que se mantenga actualizada la información pública de oficio en el portal de internet del Municipio, de acuerdo a la actualizaciones programadas.</t>
  </si>
  <si>
    <t>(AR / AP) *100</t>
  </si>
  <si>
    <t>3 actualizaciones de información pública realizadas</t>
  </si>
  <si>
    <t>6 actualizaciones</t>
  </si>
  <si>
    <t>3 actualización  de información pública realizada</t>
  </si>
  <si>
    <t>12 actualizaciones</t>
  </si>
  <si>
    <t>70% o más</t>
  </si>
  <si>
    <t>Porcentaje de calidad de respuesta de las solicitudes de información pública</t>
  </si>
  <si>
    <t>Conocer el porcentaje de resoluciones favorables contra recursos de revisión presentados sobre solicitudes de información pública, en relación con el total de solicitudes información presentadas.</t>
  </si>
  <si>
    <t xml:space="preserve"> 1 - (RRP - RFV) / TSIP   *100</t>
  </si>
  <si>
    <t>100% de recursos resueltos a favor del Municipio (la meta fue modificada, es nueva)</t>
  </si>
  <si>
    <t>84 revisiones</t>
  </si>
  <si>
    <t>336 revisiones</t>
  </si>
  <si>
    <t>1,008 revisiones</t>
  </si>
  <si>
    <t>Revisiones realizadas al marco jurídico municipal</t>
  </si>
  <si>
    <t>Conocer el número de revisiones realizadas al marco jurídico municipal con la finalidad de proponer las adecuaciones necesarias.</t>
  </si>
  <si>
    <t>(REVR / REVP)*100</t>
  </si>
  <si>
    <t>209 revisiones al marco jurídico realizadas</t>
  </si>
  <si>
    <t>289 revisiones al marco jurídico realizadas</t>
  </si>
  <si>
    <t>22 capacitaciones</t>
  </si>
  <si>
    <t>66 capacitaciones</t>
  </si>
  <si>
    <t>Capacitación y actualización a unidades jurídicas de la administración municipal</t>
  </si>
  <si>
    <t>Conocer el número de capacitaciones realizadas al personal de las unidades jurídicas de la Administración Municipal.</t>
  </si>
  <si>
    <t>(CAPR / CAPP)*100</t>
  </si>
  <si>
    <t>3 capacitaciones a unidades jurídicas realizadas</t>
  </si>
  <si>
    <t>6 capacitaciones a unidades jurídicas realizadas</t>
  </si>
  <si>
    <t>0capacitaciones en Cultura de la Legalidad</t>
  </si>
  <si>
    <t>9 capacitaciones a unidades jurídicas realizadas</t>
  </si>
  <si>
    <t>250 asesorías</t>
  </si>
  <si>
    <t>1000 asesorías</t>
  </si>
  <si>
    <t>3000 asesorías</t>
  </si>
  <si>
    <t>Asesorías a dependencias municipales sobre normatividad aplicable</t>
  </si>
  <si>
    <t>Verificar el número de asesorías sobre normatividad aplicable brindadas a las dependencias organismos de la Administración Pública Municipal.</t>
  </si>
  <si>
    <t>(NDAR / NDAP)*100</t>
  </si>
  <si>
    <t>341 asesorías de normatividad aplicable realizadas</t>
  </si>
  <si>
    <t>939 asesorías sobre normatividad realizadas</t>
  </si>
  <si>
    <t>Número de informes emitidos a miembros del Comité de Planeación del Municipio de Chihuahua (COPLADEMUN)</t>
  </si>
  <si>
    <t>Conocer el número de informes emitidos a miembros del Comité de Planeación del Municipio de Chihuahua (COPLADEMUN).</t>
  </si>
  <si>
    <t>(IE / IPE) *100</t>
  </si>
  <si>
    <t>1 reporte</t>
  </si>
  <si>
    <t>2 informes emitido para miembros de COPLADEMUN</t>
  </si>
  <si>
    <t>4 informes para miembros de COPLADEMUN emitidos</t>
  </si>
  <si>
    <t>2 informes COPLADEMUN</t>
  </si>
  <si>
    <t>7 informes para miembros de COPLADEMUN emitidos</t>
  </si>
  <si>
    <t>1 recomenda- ción</t>
  </si>
  <si>
    <t>4 recomendaciones</t>
  </si>
  <si>
    <t>12 recomendaciones</t>
  </si>
  <si>
    <t>Número de recomendaciones de innovación emitidas para mejora de áreas de oportunidad del municipio</t>
  </si>
  <si>
    <t>Conocer el número de recomendaciones de investigación e innovación emitidas para mejora de las áreas de oportunidad del Municipio.</t>
  </si>
  <si>
    <t>(RDIE / RDIP)*100</t>
  </si>
  <si>
    <t>4 recomendaciones de innovación para mejora de áreas de oportunidad emitidas</t>
  </si>
  <si>
    <t>3 recomendación de innovación</t>
  </si>
  <si>
    <t>2 recomendaciones</t>
  </si>
  <si>
    <t>9 recomendaciones de innovación para mejora de áreas de oportunidad emitidas</t>
  </si>
  <si>
    <t>21 actualizaciones</t>
  </si>
  <si>
    <t>63 actualizaciones</t>
  </si>
  <si>
    <t>Número de actualizaciones de información de las dependencias y organismos descentralizados realizadas para la conformación del informe de gobierno</t>
  </si>
  <si>
    <t xml:space="preserve">Conocer el número de  actualizaciones de información de las dependencias y organismos descentralizados para la conformación del informe de gobierno. </t>
  </si>
  <si>
    <t>(AIGR / AIGP) *100</t>
  </si>
  <si>
    <t>21 actualizaciones para informe de gobierno realizadas</t>
  </si>
  <si>
    <t>42 actualizaciones para informe de gobierno realizadas</t>
  </si>
  <si>
    <t>41 actualizaciones</t>
  </si>
  <si>
    <t xml:space="preserve">116 actualizaciones para informe de gobierno realizadas
</t>
  </si>
  <si>
    <t>14 publicaciones</t>
  </si>
  <si>
    <t>Número de publicaciones realizadas sobre resultados de indicadores de gestión de la administración municipal</t>
  </si>
  <si>
    <t>Conocer el número de publicaciones realizadas sobre resultados de indicadores de gestión de la Administración Municipal.</t>
  </si>
  <si>
    <t>(PSR / PSP) *100</t>
  </si>
  <si>
    <t>5 publicaciones sobre resultados de indicadores de gestión de la administración municipal</t>
  </si>
  <si>
    <t>8 publicaciones sobre resultados de indicadores de gestión de la administración municipal</t>
  </si>
  <si>
    <t>6 publicaciones</t>
  </si>
  <si>
    <t>21 publicaciones sobre resultados de indicadores de gestión de la administración municipal
(PMD, Agenda, SINDES, SISEP, COPLADEMUN, etc.)</t>
  </si>
  <si>
    <t>10 reportes</t>
  </si>
  <si>
    <t>Número de reportes de evaluación social realizados para diseño de políticas públicas</t>
  </si>
  <si>
    <t>Conocer el número de Reportes de Evaluación Social que se realicen como método de diseño de políticas públicas.</t>
  </si>
  <si>
    <t>(RESR / RESP) *100</t>
  </si>
  <si>
    <t>4 reportes de evaluación social</t>
  </si>
  <si>
    <t>2 reporte de evaluación social</t>
  </si>
  <si>
    <t>2 reporte</t>
  </si>
  <si>
    <t>8 reportes de evaluación social</t>
  </si>
  <si>
    <t>1 Proceso Interno Evaluado</t>
  </si>
  <si>
    <t>4 procesos internos municipales con evaluación social</t>
  </si>
  <si>
    <t>12 Procesos Internos Evaluados</t>
  </si>
  <si>
    <t>Número de procesos internos municipales con evaluación social</t>
  </si>
  <si>
    <t xml:space="preserve">Conocer el número de procesos internos de mayor impacto en el Municipio que han sido evaluados socialmente. </t>
  </si>
  <si>
    <t>(PIE / PIAE)*100</t>
  </si>
  <si>
    <t>4 procesos internos municipales con evaluación social (carta de no antecedentes policiacos, pago de predial, licencia de construcción, carta de identidad)</t>
  </si>
  <si>
    <t>5 procesos internos municipales con evaluación social</t>
  </si>
  <si>
    <t>10 procesos internos</t>
  </si>
  <si>
    <t>19 procesos internos municipales con evaluación social (carta de no antecedentes policiacos, pago de predial, licencia de construcción, carta de identidad)
(Evaluación Social)</t>
  </si>
  <si>
    <t>2 reportes</t>
  </si>
  <si>
    <t>Número de reportes de seguimiento y evaluación del Plan Municipal de Desarrollo 2013-2016 realizados</t>
  </si>
  <si>
    <t>Conocer el número de reportes de seguimiento y evaluación del Plan Municipal de Desarrollo 2013-2016 realizados.</t>
  </si>
  <si>
    <t>(RSER / RSEP) *100</t>
  </si>
  <si>
    <t>2 reportes de seguimiento y evaluación del Plan Municipal de Desarrollo realizado</t>
  </si>
  <si>
    <t>3 reportes de seguimiento y evaluación del Plan Municipal de Desarrollo realizado</t>
  </si>
  <si>
    <t>7 reportes de seguimiento y evaluación del Plan Municipal de Desarrollo realizado (Evaluación interinstitucional)</t>
  </si>
  <si>
    <t>87.5% 
(112 recibidas y 98 atendidas)</t>
  </si>
  <si>
    <t>28 eventos</t>
  </si>
  <si>
    <t>22,202 terapias</t>
  </si>
  <si>
    <t>562 personas asesoradas en mediación y conciliación</t>
  </si>
  <si>
    <t>13 eventos masivos</t>
  </si>
  <si>
    <t>13,750 apoyos alimentarios para el adulto mayor entregados</t>
  </si>
  <si>
    <t xml:space="preserve">1598 apoyos </t>
  </si>
  <si>
    <t xml:space="preserve">247 Apoyos </t>
  </si>
  <si>
    <t>3680 asesorías jurídicas gratuitas brindadas</t>
  </si>
  <si>
    <t>26 apoyos a la infraestructura y equipamiento entregados a los club del abuelo</t>
  </si>
  <si>
    <t>38 aperturas y ampliaciones</t>
  </si>
  <si>
    <t>844 paquetes</t>
  </si>
  <si>
    <t>9 actividades</t>
  </si>
  <si>
    <t>169 talleres/conferencias</t>
  </si>
  <si>
    <t>315 talleres de prevención psicológica individual y familiar impartidos</t>
  </si>
  <si>
    <t>473 talleres</t>
  </si>
  <si>
    <t>11 reunión de coordinación entre gobierno, OSC´s e instituciones educativas</t>
  </si>
  <si>
    <t>6629 becas académicas</t>
  </si>
  <si>
    <t>85 cocinas escolares instaladas</t>
  </si>
  <si>
    <t>48 huertos implementados en planteles educativos para abastecimiento de cocinas escolares</t>
  </si>
  <si>
    <t>89 enlaces realizados con sector público y privado</t>
  </si>
  <si>
    <t>18654 usuarios atendidos en procesos terapéuticos</t>
  </si>
  <si>
    <t>6 taller de prevención de enfermedades físicas y emocionales impartido</t>
  </si>
  <si>
    <t>2216 Pruebas preventivas</t>
  </si>
  <si>
    <t>4 campaña</t>
  </si>
  <si>
    <t>249 beneficiarios</t>
  </si>
  <si>
    <t>249 servicios</t>
  </si>
  <si>
    <t>1851 exámenes</t>
  </si>
  <si>
    <t>556 inspecciones</t>
  </si>
  <si>
    <t>497 alumnos</t>
  </si>
  <si>
    <t>303 alumnos</t>
  </si>
  <si>
    <t>36 actividades culturales</t>
  </si>
  <si>
    <t>134 apoyos otorgados a descendientes de veteranos de la revolución</t>
  </si>
  <si>
    <t>206 eventos esquina Benjamín Franklin</t>
  </si>
  <si>
    <t xml:space="preserve">115,767 beneficiarios </t>
  </si>
  <si>
    <t>13 publicaciones</t>
  </si>
  <si>
    <t>208 eventos</t>
  </si>
  <si>
    <t>29 servicios</t>
  </si>
  <si>
    <t>19690  beneficiarios inscritos en escuelas de iniciación deportiva</t>
  </si>
  <si>
    <t>2284 beneficiarios</t>
  </si>
  <si>
    <t>26975 usuarios atendidos en centros deportivos</t>
  </si>
  <si>
    <t>7 eventos realizados en instalaciones deportivas</t>
  </si>
  <si>
    <t>4831 usuarios atendidos en gimnasios de box</t>
  </si>
  <si>
    <t>3,649 adultos mayores beneficiados con programas de activación física</t>
  </si>
  <si>
    <t>27 curso</t>
  </si>
  <si>
    <t xml:space="preserve">5 unidades deportivas mejoradas </t>
  </si>
  <si>
    <t>2 gestión</t>
  </si>
  <si>
    <t>13 evento de orientación a la juventud</t>
  </si>
  <si>
    <t>587 pláticas</t>
  </si>
  <si>
    <t>6 talleres impartidos para el desarrollo de habilidades y capacidades productivas</t>
  </si>
  <si>
    <t>5 cursos de inducción y capacitación para apoyo de mujeres en búsqueda de empleo</t>
  </si>
  <si>
    <t>24 pláticas impartidas para fomentar pro igualdad entre las mujeres</t>
  </si>
  <si>
    <t>523 servidores públicos capacitados sobre violencia de género.</t>
  </si>
  <si>
    <t>7 campaña de promoción realizada para fomentar la denuncia de violencia contra las mujeres</t>
  </si>
  <si>
    <t>23 reuniones informativas</t>
  </si>
  <si>
    <t>940 visitas</t>
  </si>
  <si>
    <t>206 programas</t>
  </si>
  <si>
    <t>1240  inspecciones de protección civil realizadas</t>
  </si>
  <si>
    <t>85 simulacros realizados</t>
  </si>
  <si>
    <t>2269 acciones en programas de prevención impulsados</t>
  </si>
  <si>
    <t>79 visitas a comités de vecinos por parte de personal de seguridad pública</t>
  </si>
  <si>
    <t>28 organizaciones civiles con programas de prevención implementados</t>
  </si>
  <si>
    <t>10 capacitaciones realizadas para las UAVI</t>
  </si>
  <si>
    <t>90policías incorporados</t>
  </si>
  <si>
    <t>56 personas capacitadas en perspectiva de género y derechos humanos</t>
  </si>
  <si>
    <t>102 bonos</t>
  </si>
  <si>
    <t>3 convenio</t>
  </si>
  <si>
    <t>5 producto turístico</t>
  </si>
  <si>
    <t>2 festival de la primavera</t>
  </si>
  <si>
    <t>54 artistas apoyados</t>
  </si>
  <si>
    <t>9 Talleres</t>
  </si>
  <si>
    <t>31508 predios revisados y actualizados</t>
  </si>
  <si>
    <t>64.06% de ingresos propios recaudados ($1,664,830,989) contra ingresos totales recaudados ($2,598,713,225)</t>
  </si>
  <si>
    <t>117%  ($2,702,532,681 presupuesto ejercido, $2,301,236,846 total)</t>
  </si>
  <si>
    <t>269 revisiones al marco jurídico</t>
  </si>
  <si>
    <t>676 asesorías sobre normatividad realizadas</t>
  </si>
  <si>
    <t>27,375 terapias brindadas en las unidades básicas de rehabilitación UBR</t>
  </si>
  <si>
    <t>1,761 personas asesorada en materia de mediación y conciliación</t>
  </si>
  <si>
    <t>29 eventos masivos para beneficio de la población en general</t>
  </si>
  <si>
    <t>43,750 apoyos alimentarios para el adulto mayor entregados</t>
  </si>
  <si>
    <t>2,661beneficiarios del programa de empleo temporal en la zona rural</t>
  </si>
  <si>
    <t>5014 apoyos otorgados a grupos vulnerables</t>
  </si>
  <si>
    <t>859  apoyos diversos otorgados a personas de escasos recursos económicos</t>
  </si>
  <si>
    <t>10238 asesorías jurídicas gratuitas brindadas</t>
  </si>
  <si>
    <t>28 apoyos a la infraestructura y equipamiento entregados a los club del abuelo</t>
  </si>
  <si>
    <t>164 aperturas y ampliaciones</t>
  </si>
  <si>
    <t>14 actividades (equipo multidisciplinario para la atención a víctimas, programa de prevención y explotación infantil, difusión de los derechos de la niñez, prevención y atención al menor migrante, promoción del fortalecimiento familiar</t>
  </si>
  <si>
    <t>368 talleres y/o conferencias del programa prevención y atención integral de embarazo en adolescentes</t>
  </si>
  <si>
    <t>2425 niños atendidos dentro de la ludoteca móvil</t>
  </si>
  <si>
    <t>823 talleres de prevención psicológica individual y familiar impartidos</t>
  </si>
  <si>
    <t>828 talleres</t>
  </si>
  <si>
    <t>21 reuniones de coordinación entre gobierno, OSC´s e instituciones educativas</t>
  </si>
  <si>
    <t>12467  becas educativas asignadas a estudiantes de rezago social o en situación de riesgo</t>
  </si>
  <si>
    <t>3787 becas</t>
  </si>
  <si>
    <t xml:space="preserve">106 nuevas cocinas escolares instaladas </t>
  </si>
  <si>
    <t xml:space="preserve">69 nuevos huertos implementados en planteles educativos para abastecimiento de cocinas escolares </t>
  </si>
  <si>
    <t>42 honores a la bandera en espacios públicos realizados</t>
  </si>
  <si>
    <t>247 enlaces realizados con sector público y privado</t>
  </si>
  <si>
    <t>73532 usuarios atendidos en procesos terapéuticos, psicológicos y psiquiátricos en área clínica</t>
  </si>
  <si>
    <t>11 talleres de prevención de enfermedades físicas y emocionales impartido</t>
  </si>
  <si>
    <t>7 campaña de prevención</t>
  </si>
  <si>
    <t>6,468 beneficiarios de programas de sensibilización y concientización de problemas de sobrepeso y obesidad</t>
  </si>
  <si>
    <t>5291 servicios de diagnóstico y seguimiento nutricional a la ciudadanía vulnerable</t>
  </si>
  <si>
    <t>7549 exámenes médicos realizados</t>
  </si>
  <si>
    <t>2,616 inspecciones de vigilancia realizadas</t>
  </si>
  <si>
    <t>588 alumnos beneficiados</t>
  </si>
  <si>
    <t>477 alumnos</t>
  </si>
  <si>
    <t>146 actividades culturales  realizadas</t>
  </si>
  <si>
    <t>393 apoyos otorgados a descendientes de veteranos de la revolución</t>
  </si>
  <si>
    <t>217 eventos de intercambios artísticos y culturales realizados</t>
  </si>
  <si>
    <t>214,889  en programas para impulsar el arte y la cultura</t>
  </si>
  <si>
    <t>26 publicaciones de libros realizadas a través de programa editorial</t>
  </si>
  <si>
    <t>123 eventos en Espacios de expresión artística realizados</t>
  </si>
  <si>
    <t>563 eventos realizados en espacios públicos para la cultura y las artes</t>
  </si>
  <si>
    <t xml:space="preserve">131 servicios realizados para fortalecimiento y mejora de bibliotecas municipales </t>
  </si>
  <si>
    <t xml:space="preserve">8 nuevos programas de fomento a la lectura </t>
  </si>
  <si>
    <t>44 visitas  realizadas por la bibliomóvil a zona rural y diversas colonias del municipio</t>
  </si>
  <si>
    <t>39959 beneficiarios inscritos en escuelas de iniciación deportiva</t>
  </si>
  <si>
    <t>6236 beneficiarios del programa de deporte adaptado</t>
  </si>
  <si>
    <t>50854 usuarios atendidos en centros deportivos</t>
  </si>
  <si>
    <t>55 eventos realizados en instalaciones deportivas</t>
  </si>
  <si>
    <t>8667 usuarios atendidos en gimnasios de box</t>
  </si>
  <si>
    <t>11,243 adultos mayores beneficiados con programa de activación física</t>
  </si>
  <si>
    <t>45 cursos realizados a promotores deportivos para especialización en atención al adulto mayor.</t>
  </si>
  <si>
    <t>29 
(23 unidades deportivas mejoradas y 3 nuevos espacios deportivos.)</t>
  </si>
  <si>
    <t>43 eventos de orientación a la juventud</t>
  </si>
  <si>
    <t>1054 pláticas a jóvenes para impulsar desarrollo de proyectos de preservación ambiental y ecológica</t>
  </si>
  <si>
    <t>36 talleres impartidos para el desarrollo de habilidades y capacidades productivas</t>
  </si>
  <si>
    <t>20 cursos de inducción y capacitación para apoyo de mujeres en búsqueda de empleo</t>
  </si>
  <si>
    <t>1,258 pláticas impartidas para fomentar pro igualdad entre las mujeres</t>
  </si>
  <si>
    <t>1222 servidores públicos capacitados sobre violencia de género.</t>
  </si>
  <si>
    <t>30 campañas de promoción realizadas para fomentar la denuncia de violencia contra mujeres</t>
  </si>
  <si>
    <t>197 reuniones informativas</t>
  </si>
  <si>
    <t>3713 visitas.</t>
  </si>
  <si>
    <t>57981.44 m2 pavimentados por esquema de recuperación.</t>
  </si>
  <si>
    <t>207 programas de reciclaje y clasificación de residuos implementados</t>
  </si>
  <si>
    <t>2057 inspecciones de protección civil realizadas</t>
  </si>
  <si>
    <t>315 Simulacros realizados</t>
  </si>
  <si>
    <t>5782 acciones en programas de prevención impulsados</t>
  </si>
  <si>
    <t>253 visitas a comités de vecinos por parte de personal de seguridad pública</t>
  </si>
  <si>
    <t>45 organizaciones civiles con programas de prevención implementados</t>
  </si>
  <si>
    <t>17 capacitaciones realizadas para las UAVI</t>
  </si>
  <si>
    <t>447 policías incorporados</t>
  </si>
  <si>
    <t>90 personas capacitadas en perspectiva de género y derechos humanos</t>
  </si>
  <si>
    <t>281 bonos al buen desempeño laboral entregados a personal de la DSPM</t>
  </si>
  <si>
    <t>234proyectos innovados de emprendedores que promueven la marca Chihuahua</t>
  </si>
  <si>
    <t>11  talleres para el autoempleo con participación de instituciones de educación superior impartidos</t>
  </si>
  <si>
    <t>4 convenio</t>
  </si>
  <si>
    <t>24 eventos de promoción realizados para impulsar productos turísticos del municipio</t>
  </si>
  <si>
    <t>7 festivales realizados de las cuatro estaciones</t>
  </si>
  <si>
    <t xml:space="preserve">253 artistas locales apoyados en la difusión y proyección de sus talentos </t>
  </si>
  <si>
    <t>19 cursos para buen trato a ciudadanos realizados</t>
  </si>
  <si>
    <t>127519 predios revisados y actualizados</t>
  </si>
  <si>
    <t>4 actividad (diagnóstico y requerimientos para implementación)</t>
  </si>
  <si>
    <t>5 actividades (análisis del proceso actual, identificación de requerimiento para implementación del sistema, capacitación a servidores públicos)</t>
  </si>
  <si>
    <t>936 revisiones al marco jurídico realizadas</t>
  </si>
  <si>
    <t>2186 asesorías sobre normatividad realizadas</t>
  </si>
  <si>
    <t>18 actividades para la elaboración de los programas parciales de subcentros sur poniente y sur oriente</t>
  </si>
  <si>
    <t>12curso (Congreso ICELEI y foro AMMP)</t>
  </si>
  <si>
    <t>6 talleres/concursos realizados para la creación del banco de proyectos urbanos (Fachadas Hotel del Real, Río Chuviscar, Reto Tec Proyecto Acueducto, Conexión Movilidad Alternativa UTCH 1 y Congreso ICELEI y foro AMMP)</t>
  </si>
  <si>
    <t>725,565.45 metros cuadrados con concreto hidráulico pavimentados</t>
  </si>
  <si>
    <t>252,503.26 m2 pavimentados</t>
  </si>
  <si>
    <t>6 puentes</t>
  </si>
  <si>
    <t>OBJETIVO</t>
  </si>
  <si>
    <t>Fortalecer la participación ciudadana a través de una coordinación eficaz y de mayor corresponsabilidad entre sociedad y municipio que impulse el desarrollo comunitario ordenado.</t>
  </si>
  <si>
    <t>Incrementar las oportunidades de desarrollo para fomentar una sociedad equitativa e incluyente.</t>
  </si>
  <si>
    <t>Elevar la calidad educativa, para fortalecer el potencial humano.</t>
  </si>
  <si>
    <t>Incidir en el mejoramiento y conservación de la salud de los habitantes para generar bienestar en la población.</t>
  </si>
  <si>
    <t>Promover la cultura para fortalecer la identidad Chihuahuense.</t>
  </si>
  <si>
    <t>Promover el deporte y la activación física de manera incluyente como un medio de cohesión social.</t>
  </si>
  <si>
    <t>Fomentar el desarrollo personal y profesional de los jóvenes en el municipio.</t>
  </si>
  <si>
    <t>Fomentar el desarrollo integral y protección de la mujer para propiciar su empoderamiento y reconocimiento por el papel que desempeña en la sociedad</t>
  </si>
  <si>
    <t>Brindar servicios públicos de calidad para mejorar la atención a la población.</t>
  </si>
  <si>
    <t>Realizar obras públicas encaminadas a incrementar y mejorar la infraestructura y equipamiento urbano en el municipio.</t>
  </si>
  <si>
    <t>Transformar la imagen del municipio, para brindar mejores espacios de convivencia.</t>
  </si>
  <si>
    <t>Fortalecer la planeación urbana, con visión metropolitana y sostenible, para el desarrollo ordenado del municipio.</t>
  </si>
  <si>
    <t>Ampliar y rehabilitar la infraestructura vial de concreto hidráulico, para contribuir a mejorar la movilidad y conectividad de la población.</t>
  </si>
  <si>
    <t>Impulsar un municipio ecológico, sustentable y moderno, para beneficio de las generaciones presentes y futuras.</t>
  </si>
  <si>
    <t>Reforzar el Sistema de Protección Civil en el municipio, favoreciendo una mayor coordinación con el orden federal y estatal.</t>
  </si>
  <si>
    <t>Fortalecer la cultura de prevención entre la sociedad del Municipio de Chihuahua como una herramienta contra la delincuencia.</t>
  </si>
  <si>
    <t>Mejorar la capacidad de respuesta, operación y despliegue de los cuerpos policiacos para disminuir la incidencia delictiva</t>
  </si>
  <si>
    <t>Impulsar las actividades económicas en el Municipio de Chihuahua para fomentar el desarrollo armónico y sustentable.</t>
  </si>
  <si>
    <t>Impulsar el turismo para estimular el desarrollo económico de la región.</t>
  </si>
  <si>
    <t>Elevar la competitividad del sector turístico impulsando sus productos y servicios para generar desarrollo.</t>
  </si>
  <si>
    <t>Estimular al sector productivo para impactar el desarrollo económico en la zona rural.</t>
  </si>
  <si>
    <t>Impulsar la profesionalización de los servidores públicos y la mejora continua para aumentar el buen desempeño municipal.</t>
  </si>
  <si>
    <t>Impulsar un gobierno abierto, participativo e innovador mediante el uso de herramientas tecnológicas en beneficio de la ciudadanía.</t>
  </si>
  <si>
    <t>Fortalecer la política hacendaria del municipio, mejorando el proceso presupuestario y maximizando la recaudación de los recursos propios.</t>
  </si>
  <si>
    <t>Mejorar la transparencia de las acciones del gobierno para garantizar el derecho de acceso a la información pública.</t>
  </si>
  <si>
    <t>Revisar y actualizar las normas jurídicas que dan sustento legal a las actividades de la administración pública municipal.</t>
  </si>
  <si>
    <t>Fortalecer la planeación  de las políticas públicas ejercidas por la Administración Municipal a través de nuevos esquemas y la participación democrática activa de la ciudadanía.</t>
  </si>
  <si>
    <t>Implementar mecanismos de evaluación para un gobierno eficiente y participativo que incidan en la mejora del desempeño y en la calidad de los servicios otorgados por la Administración Municipal</t>
  </si>
  <si>
    <t>Dimensión</t>
  </si>
  <si>
    <t>Eficacia</t>
  </si>
  <si>
    <t>Eficiencia</t>
  </si>
  <si>
    <t>Economía</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</si>
</sst>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8" formatCode="&quot;$&quot;#,##0.00;[Red]\-&quot;$&quot;#,##0.00"/>
    <numFmt numFmtId="44" formatCode="_-&quot;$&quot;* #,##0.00_-;\-&quot;$&quot;* #,##0.00_-;_-&quot;$&quot;* &quot;-&quot;??_-;_-@_-"/>
    <numFmt numFmtId="43" formatCode="_-* #,##0.00_-;\-* #,##0.00_-;_-* &quot;-&quot;??_-;_-@_-"/>
    <numFmt numFmtId="165" formatCode="0.0%"/>
    <numFmt numFmtId="166" formatCode="#,##0.0"/>
    <numFmt numFmtId="167" formatCode="_-* #,##0_-;\-* #,##0_-;_-* &quot;-&quot;??_-;_-@_-"/>
    <numFmt numFmtId="168" formatCode="_(* #,##0.00_);_(* \(#,##0.00\);_(* &quot;-&quot;??_);_(@_)"/>
    <numFmt numFmtId="169" formatCode="_(&quot;$&quot;* #,##0.00_);_(&quot;$&quot;* \(#,##0.00\);_(&quot;$&quot;* &quot;-&quot;??_);_(@_)"/>
    <numFmt numFmtId="170" formatCode="_-[$€-2]* #,##0.00_-;\-[$€-2]* #,##0.00_-;_-[$€-2]* &quot;-&quot;??_-"/>
  </numFmts>
  <fonts count="20" x14ac:knownFonts="1">
    <font>
      <sz val="11"/>
      <color theme="1"/>
      <name val="Calibri"/>
      <family val="2"/>
      <scheme val="minor"/>
    </font>
    <font>
      <sz val="11"/>
      <color theme="1"/>
      <name val="Calibri"/>
      <family val="2"/>
      <scheme val="minor"/>
    </font>
    <font>
      <b/>
      <sz val="16"/>
      <color theme="0"/>
      <name val="Calibri"/>
      <family val="2"/>
      <scheme val="minor"/>
    </font>
    <font>
      <b/>
      <sz val="18"/>
      <color theme="0"/>
      <name val="Calibri"/>
      <family val="2"/>
      <scheme val="minor"/>
    </font>
    <font>
      <sz val="16"/>
      <color theme="1"/>
      <name val="Calibri"/>
      <family val="2"/>
      <scheme val="minor"/>
    </font>
    <font>
      <sz val="16"/>
      <color rgb="FF000000"/>
      <name val="Calibri"/>
      <family val="2"/>
      <scheme val="minor"/>
    </font>
    <font>
      <sz val="16"/>
      <name val="Calibri"/>
      <family val="2"/>
    </font>
    <font>
      <sz val="16"/>
      <color theme="1"/>
      <name val="Calibri"/>
      <family val="2"/>
    </font>
    <font>
      <b/>
      <sz val="16"/>
      <color theme="1"/>
      <name val="Calibri"/>
      <family val="2"/>
      <scheme val="minor"/>
    </font>
    <font>
      <sz val="18"/>
      <color theme="1"/>
      <name val="Calibri"/>
      <family val="2"/>
      <scheme val="minor"/>
    </font>
    <font>
      <sz val="12"/>
      <color theme="1"/>
      <name val="Calibri"/>
      <family val="2"/>
      <scheme val="minor"/>
    </font>
    <font>
      <sz val="16"/>
      <color theme="1"/>
      <name val="Arial"/>
      <family val="2"/>
    </font>
    <font>
      <sz val="14"/>
      <color theme="1"/>
      <name val="Calibri"/>
      <family val="2"/>
      <scheme val="minor"/>
    </font>
    <font>
      <sz val="16"/>
      <name val="Calibri"/>
      <family val="2"/>
      <scheme val="minor"/>
    </font>
    <font>
      <sz val="16"/>
      <color rgb="FF000000"/>
      <name val="Times New Roman"/>
      <family val="1"/>
    </font>
    <font>
      <b/>
      <sz val="16"/>
      <color theme="1"/>
      <name val="Calibri"/>
      <family val="2"/>
    </font>
    <font>
      <sz val="22"/>
      <color theme="1"/>
      <name val="Calibri"/>
      <family val="2"/>
      <scheme val="minor"/>
    </font>
    <font>
      <sz val="10"/>
      <name val="Arial"/>
      <family val="2"/>
    </font>
    <font>
      <sz val="14"/>
      <color theme="1"/>
      <name val="Times New Roman"/>
      <family val="2"/>
    </font>
    <font>
      <b/>
      <sz val="12"/>
      <color theme="0"/>
      <name val="Calibri"/>
      <family val="2"/>
      <scheme val="minor"/>
    </font>
  </fonts>
  <fills count="9">
    <fill>
      <patternFill patternType="none"/>
    </fill>
    <fill>
      <patternFill patternType="gray125"/>
    </fill>
    <fill>
      <patternFill patternType="solid">
        <fgColor theme="6" tint="-0.249977111117893"/>
        <bgColor indexed="64"/>
      </patternFill>
    </fill>
    <fill>
      <patternFill patternType="solid">
        <fgColor rgb="FF00B050"/>
        <bgColor indexed="64"/>
      </patternFill>
    </fill>
    <fill>
      <patternFill patternType="solid">
        <fgColor rgb="FF7030A0"/>
        <bgColor indexed="64"/>
      </patternFill>
    </fill>
    <fill>
      <patternFill patternType="solid">
        <fgColor theme="6" tint="-0.49998474074526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2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s>
  <cellStyleXfs count="1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9" fontId="1"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68" fontId="17" fillId="0" borderId="0" applyFont="0" applyFill="0" applyBorder="0" applyAlignment="0" applyProtection="0"/>
    <xf numFmtId="168" fontId="17" fillId="0" borderId="0" applyFont="0" applyFill="0" applyBorder="0" applyAlignment="0" applyProtection="0"/>
    <xf numFmtId="168" fontId="17" fillId="0" borderId="0" applyFont="0" applyFill="0" applyBorder="0" applyAlignment="0" applyProtection="0"/>
    <xf numFmtId="44" fontId="17" fillId="0" borderId="0" applyFont="0" applyFill="0" applyBorder="0" applyAlignment="0" applyProtection="0"/>
    <xf numFmtId="0" fontId="1" fillId="0" borderId="0"/>
    <xf numFmtId="0" fontId="18" fillId="0" borderId="0"/>
    <xf numFmtId="0" fontId="17" fillId="0" borderId="0"/>
  </cellStyleXfs>
  <cellXfs count="162">
    <xf numFmtId="0" fontId="0" fillId="0" borderId="0" xfId="0"/>
    <xf numFmtId="0" fontId="0" fillId="0" borderId="0" xfId="0" applyAlignment="1">
      <alignment horizont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6" xfId="0" applyFont="1" applyFill="1" applyBorder="1" applyAlignment="1">
      <alignment horizontal="center" vertical="center" wrapText="1"/>
    </xf>
    <xf numFmtId="3" fontId="6" fillId="0" borderId="16" xfId="0" applyNumberFormat="1"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0" fontId="4" fillId="3" borderId="16" xfId="0" applyNumberFormat="1" applyFont="1" applyFill="1" applyBorder="1" applyAlignment="1">
      <alignment horizontal="center" vertical="center" wrapText="1"/>
    </xf>
    <xf numFmtId="9" fontId="4" fillId="3" borderId="16" xfId="0" applyNumberFormat="1" applyFont="1" applyFill="1" applyBorder="1" applyAlignment="1">
      <alignment horizontal="center" vertical="center"/>
    </xf>
    <xf numFmtId="0" fontId="4" fillId="0" borderId="0" xfId="0" applyFont="1"/>
    <xf numFmtId="3" fontId="6" fillId="0" borderId="2" xfId="0" applyNumberFormat="1" applyFont="1" applyFill="1" applyBorder="1" applyAlignment="1">
      <alignment horizontal="center" vertical="center" wrapText="1"/>
    </xf>
    <xf numFmtId="0" fontId="4" fillId="0" borderId="16" xfId="0" applyFont="1" applyFill="1" applyBorder="1" applyAlignment="1">
      <alignment horizontal="center" vertical="center" wrapText="1"/>
    </xf>
    <xf numFmtId="10" fontId="4" fillId="0" borderId="2" xfId="0" applyNumberFormat="1" applyFont="1" applyFill="1" applyBorder="1" applyAlignment="1">
      <alignment horizontal="center" vertical="center" wrapText="1"/>
    </xf>
    <xf numFmtId="9" fontId="4" fillId="7" borderId="2" xfId="3" applyFont="1" applyFill="1" applyBorder="1" applyAlignment="1">
      <alignment horizontal="center" vertical="center" wrapText="1"/>
    </xf>
    <xf numFmtId="9" fontId="4" fillId="3"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44" fontId="4" fillId="0" borderId="2" xfId="2" applyFont="1" applyFill="1" applyBorder="1" applyAlignment="1">
      <alignment horizontal="center" vertical="center" wrapText="1"/>
    </xf>
    <xf numFmtId="10" fontId="4" fillId="0" borderId="2" xfId="2" applyNumberFormat="1" applyFont="1" applyFill="1" applyBorder="1" applyAlignment="1">
      <alignment horizontal="center" vertical="center" wrapText="1"/>
    </xf>
    <xf numFmtId="1" fontId="4" fillId="0" borderId="2" xfId="2" applyNumberFormat="1" applyFont="1" applyFill="1" applyBorder="1" applyAlignment="1">
      <alignment horizontal="center" vertical="center" wrapText="1"/>
    </xf>
    <xf numFmtId="9" fontId="9" fillId="7" borderId="2" xfId="0" applyNumberFormat="1" applyFont="1" applyFill="1" applyBorder="1" applyAlignment="1">
      <alignment horizontal="center" vertical="center" wrapText="1"/>
    </xf>
    <xf numFmtId="9" fontId="9" fillId="3" borderId="2" xfId="0" applyNumberFormat="1" applyFont="1" applyFill="1" applyBorder="1" applyAlignment="1">
      <alignment horizontal="center" vertical="center" wrapText="1"/>
    </xf>
    <xf numFmtId="165" fontId="4" fillId="3" borderId="2" xfId="0" applyNumberFormat="1" applyFont="1" applyFill="1" applyBorder="1" applyAlignment="1">
      <alignment horizontal="center" vertical="center" wrapText="1"/>
    </xf>
    <xf numFmtId="9" fontId="4" fillId="3" borderId="2" xfId="3" applyFont="1" applyFill="1" applyBorder="1" applyAlignment="1">
      <alignment horizontal="center" vertical="center" wrapText="1"/>
    </xf>
    <xf numFmtId="9" fontId="9" fillId="3" borderId="2" xfId="0" applyNumberFormat="1" applyFont="1" applyFill="1" applyBorder="1" applyAlignment="1">
      <alignment horizontal="center" vertical="center"/>
    </xf>
    <xf numFmtId="9" fontId="4" fillId="8" borderId="2" xfId="3" applyFont="1" applyFill="1" applyBorder="1" applyAlignment="1">
      <alignment horizontal="center" vertical="center" wrapText="1"/>
    </xf>
    <xf numFmtId="0" fontId="4" fillId="6" borderId="0" xfId="0" applyFont="1" applyFill="1"/>
    <xf numFmtId="9" fontId="4" fillId="7" borderId="2" xfId="0" applyNumberFormat="1" applyFont="1" applyFill="1" applyBorder="1" applyAlignment="1">
      <alignment horizontal="center" vertical="center"/>
    </xf>
    <xf numFmtId="9" fontId="4" fillId="0" borderId="2" xfId="0" applyNumberFormat="1" applyFont="1" applyFill="1" applyBorder="1" applyAlignment="1">
      <alignment horizontal="center" vertical="center" wrapText="1"/>
    </xf>
    <xf numFmtId="0" fontId="4" fillId="0" borderId="2" xfId="2" applyNumberFormat="1" applyFont="1" applyFill="1" applyBorder="1" applyAlignment="1">
      <alignment horizontal="center" vertical="center" wrapText="1"/>
    </xf>
    <xf numFmtId="9" fontId="8" fillId="8" borderId="2" xfId="3" applyFont="1" applyFill="1" applyBorder="1" applyAlignment="1">
      <alignment horizontal="center" vertical="center" wrapText="1"/>
    </xf>
    <xf numFmtId="9" fontId="8" fillId="3" borderId="2" xfId="0" applyNumberFormat="1" applyFont="1" applyFill="1" applyBorder="1" applyAlignment="1">
      <alignment horizontal="center" vertical="center"/>
    </xf>
    <xf numFmtId="9" fontId="4" fillId="6" borderId="2" xfId="0" applyNumberFormat="1" applyFont="1" applyFill="1" applyBorder="1" applyAlignment="1">
      <alignment horizontal="center" vertical="center" wrapText="1"/>
    </xf>
    <xf numFmtId="9" fontId="4" fillId="8" borderId="2" xfId="0" applyNumberFormat="1" applyFont="1" applyFill="1" applyBorder="1" applyAlignment="1">
      <alignment horizontal="center" vertical="center"/>
    </xf>
    <xf numFmtId="10" fontId="7"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9" fontId="8" fillId="7" borderId="2" xfId="0" applyNumberFormat="1" applyFont="1" applyFill="1" applyBorder="1" applyAlignment="1">
      <alignment horizontal="center" vertical="center"/>
    </xf>
    <xf numFmtId="0" fontId="4" fillId="0" borderId="2" xfId="0" applyFont="1" applyFill="1" applyBorder="1" applyAlignment="1">
      <alignment vertical="center" wrapText="1"/>
    </xf>
    <xf numFmtId="9" fontId="8" fillId="7" borderId="2" xfId="3" applyFont="1" applyFill="1" applyBorder="1" applyAlignment="1">
      <alignment horizontal="center" vertical="center" wrapText="1"/>
    </xf>
    <xf numFmtId="9" fontId="8" fillId="3" borderId="2" xfId="3" applyFont="1" applyFill="1" applyBorder="1" applyAlignment="1">
      <alignment horizontal="center" vertical="center" wrapText="1"/>
    </xf>
    <xf numFmtId="0" fontId="11" fillId="0" borderId="2" xfId="0" applyFont="1" applyFill="1" applyBorder="1" applyAlignment="1">
      <alignment horizontal="center" vertical="center" wrapText="1"/>
    </xf>
    <xf numFmtId="9" fontId="4" fillId="7" borderId="2" xfId="3" applyNumberFormat="1" applyFont="1" applyFill="1" applyBorder="1" applyAlignment="1">
      <alignment horizontal="center" vertical="center"/>
    </xf>
    <xf numFmtId="9" fontId="4" fillId="3" borderId="2"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xf numFmtId="43" fontId="4" fillId="0" borderId="2" xfId="1" applyFont="1" applyFill="1" applyBorder="1" applyAlignment="1">
      <alignment horizontal="center" vertical="center" wrapText="1"/>
    </xf>
    <xf numFmtId="8" fontId="12" fillId="0" borderId="2" xfId="0" applyNumberFormat="1" applyFont="1" applyFill="1" applyBorder="1" applyAlignment="1">
      <alignment horizontal="center" vertical="center" wrapText="1"/>
    </xf>
    <xf numFmtId="8" fontId="4" fillId="0" borderId="2" xfId="1" applyNumberFormat="1" applyFont="1" applyFill="1" applyBorder="1" applyAlignment="1">
      <alignment horizontal="center" vertical="center" wrapText="1"/>
    </xf>
    <xf numFmtId="9" fontId="4" fillId="8" borderId="2" xfId="0" applyNumberFormat="1" applyFont="1" applyFill="1" applyBorder="1" applyAlignment="1">
      <alignment horizontal="center" vertical="center" wrapText="1"/>
    </xf>
    <xf numFmtId="9" fontId="4" fillId="7" borderId="2" xfId="0" applyNumberFormat="1" applyFont="1" applyFill="1" applyBorder="1" applyAlignment="1">
      <alignment horizontal="center" vertical="center" wrapText="1"/>
    </xf>
    <xf numFmtId="44" fontId="4" fillId="0" borderId="16" xfId="2" applyFont="1" applyFill="1" applyBorder="1" applyAlignment="1">
      <alignment horizontal="center" vertical="center" wrapText="1"/>
    </xf>
    <xf numFmtId="0" fontId="12" fillId="0" borderId="2" xfId="0" applyFont="1" applyFill="1" applyBorder="1" applyAlignment="1">
      <alignment horizontal="center" vertical="center" wrapText="1"/>
    </xf>
    <xf numFmtId="3" fontId="7"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10" fontId="4" fillId="3" borderId="2" xfId="0" applyNumberFormat="1" applyFont="1" applyFill="1" applyBorder="1" applyAlignment="1">
      <alignment horizontal="center" vertical="center"/>
    </xf>
    <xf numFmtId="9" fontId="4" fillId="3" borderId="2" xfId="3" applyFont="1" applyFill="1" applyBorder="1" applyAlignment="1">
      <alignment horizontal="center" vertical="center"/>
    </xf>
    <xf numFmtId="9" fontId="4" fillId="3" borderId="2" xfId="3" applyNumberFormat="1" applyFont="1" applyFill="1" applyBorder="1" applyAlignment="1">
      <alignment horizontal="center" vertical="center"/>
    </xf>
    <xf numFmtId="0" fontId="4" fillId="0" borderId="2" xfId="3" applyNumberFormat="1" applyFont="1" applyFill="1" applyBorder="1" applyAlignment="1">
      <alignment horizontal="center" vertical="center" wrapText="1"/>
    </xf>
    <xf numFmtId="1" fontId="4" fillId="0" borderId="2" xfId="1" applyNumberFormat="1" applyFont="1" applyFill="1" applyBorder="1" applyAlignment="1">
      <alignment horizontal="center" vertical="center" wrapText="1"/>
    </xf>
    <xf numFmtId="9" fontId="8" fillId="3" borderId="2" xfId="0" applyNumberFormat="1" applyFont="1" applyFill="1" applyBorder="1" applyAlignment="1">
      <alignment horizontal="center" vertical="center" wrapText="1"/>
    </xf>
    <xf numFmtId="9" fontId="4" fillId="0" borderId="2" xfId="3" applyFont="1" applyFill="1" applyBorder="1" applyAlignment="1">
      <alignment horizontal="center" vertical="center" wrapText="1"/>
    </xf>
    <xf numFmtId="4" fontId="4"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9" fontId="13" fillId="3" borderId="2" xfId="0" applyNumberFormat="1" applyFont="1" applyFill="1" applyBorder="1" applyAlignment="1">
      <alignment horizontal="center" vertical="center"/>
    </xf>
    <xf numFmtId="1" fontId="4" fillId="0" borderId="2" xfId="2" applyNumberFormat="1" applyFont="1" applyFill="1" applyBorder="1" applyAlignment="1">
      <alignment horizontal="center" vertical="center"/>
    </xf>
    <xf numFmtId="9" fontId="13" fillId="8" borderId="2" xfId="0" applyNumberFormat="1" applyFont="1" applyFill="1" applyBorder="1" applyAlignment="1">
      <alignment horizontal="center" vertical="center"/>
    </xf>
    <xf numFmtId="9" fontId="13" fillId="7" borderId="2" xfId="0" applyNumberFormat="1" applyFont="1" applyFill="1" applyBorder="1" applyAlignment="1">
      <alignment horizontal="center" vertical="center"/>
    </xf>
    <xf numFmtId="166" fontId="4" fillId="0" borderId="2" xfId="0" applyNumberFormat="1" applyFont="1" applyFill="1" applyBorder="1" applyAlignment="1">
      <alignment horizontal="center" vertical="center" wrapText="1"/>
    </xf>
    <xf numFmtId="1" fontId="4" fillId="0" borderId="2" xfId="2" applyNumberFormat="1" applyFont="1" applyFill="1" applyBorder="1" applyAlignment="1">
      <alignment horizontal="left" vertical="center" wrapText="1"/>
    </xf>
    <xf numFmtId="9" fontId="13" fillId="0" borderId="2" xfId="0" applyNumberFormat="1" applyFont="1" applyFill="1" applyBorder="1" applyAlignment="1">
      <alignment horizontal="center" vertical="center" wrapText="1"/>
    </xf>
    <xf numFmtId="2" fontId="4"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9" fontId="13" fillId="8" borderId="2" xfId="3" applyFont="1" applyFill="1" applyBorder="1" applyAlignment="1">
      <alignment horizontal="center" vertical="center" wrapText="1"/>
    </xf>
    <xf numFmtId="0" fontId="4" fillId="3" borderId="2" xfId="0" applyFont="1" applyFill="1" applyBorder="1" applyAlignment="1">
      <alignment horizontal="center" vertical="center" wrapText="1"/>
    </xf>
    <xf numFmtId="9" fontId="13" fillId="3" borderId="2" xfId="0" applyNumberFormat="1" applyFont="1" applyFill="1" applyBorder="1" applyAlignment="1">
      <alignment horizontal="center" vertical="center" wrapText="1"/>
    </xf>
    <xf numFmtId="9" fontId="7" fillId="0" borderId="2" xfId="0" applyNumberFormat="1" applyFont="1" applyFill="1" applyBorder="1" applyAlignment="1">
      <alignment horizontal="center" vertical="center" wrapText="1"/>
    </xf>
    <xf numFmtId="10" fontId="13" fillId="3" borderId="2" xfId="0" applyNumberFormat="1" applyFont="1" applyFill="1" applyBorder="1" applyAlignment="1">
      <alignment horizontal="center" vertical="center" wrapText="1"/>
    </xf>
    <xf numFmtId="9" fontId="13" fillId="3" borderId="2" xfId="3" applyNumberFormat="1" applyFont="1" applyFill="1" applyBorder="1" applyAlignment="1">
      <alignment horizontal="center" vertical="center" wrapText="1"/>
    </xf>
    <xf numFmtId="10" fontId="4" fillId="3" borderId="2" xfId="0" applyNumberFormat="1" applyFont="1" applyFill="1" applyBorder="1" applyAlignment="1">
      <alignment horizontal="center" vertical="center" wrapText="1"/>
    </xf>
    <xf numFmtId="1" fontId="7" fillId="0" borderId="2" xfId="0" applyNumberFormat="1" applyFont="1" applyFill="1" applyBorder="1" applyAlignment="1">
      <alignment horizontal="center" vertical="center" wrapText="1"/>
    </xf>
    <xf numFmtId="1" fontId="4" fillId="0" borderId="4" xfId="0" applyNumberFormat="1" applyFont="1" applyFill="1" applyBorder="1" applyAlignment="1">
      <alignment vertical="center" wrapText="1"/>
    </xf>
    <xf numFmtId="9" fontId="15" fillId="3" borderId="2" xfId="3" applyFont="1" applyFill="1" applyBorder="1" applyAlignment="1">
      <alignment horizontal="center" vertical="center" wrapText="1"/>
    </xf>
    <xf numFmtId="9" fontId="7" fillId="7" borderId="2" xfId="3" applyFont="1" applyFill="1" applyBorder="1" applyAlignment="1">
      <alignment horizontal="center" vertical="center" wrapText="1"/>
    </xf>
    <xf numFmtId="9" fontId="15" fillId="7" borderId="2" xfId="3" applyFont="1" applyFill="1" applyBorder="1" applyAlignment="1">
      <alignment horizontal="center" vertical="center" wrapText="1"/>
    </xf>
    <xf numFmtId="0" fontId="4" fillId="0" borderId="0" xfId="0" applyFont="1" applyBorder="1"/>
    <xf numFmtId="44" fontId="7" fillId="0" borderId="2" xfId="2"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9" fontId="15" fillId="3" borderId="2" xfId="0" applyNumberFormat="1" applyFont="1" applyFill="1" applyBorder="1" applyAlignment="1">
      <alignment horizontal="center" vertical="center" wrapText="1"/>
    </xf>
    <xf numFmtId="9" fontId="7" fillId="3" borderId="2" xfId="0" applyNumberFormat="1" applyFont="1" applyFill="1" applyBorder="1" applyAlignment="1">
      <alignment horizontal="center" vertical="center" wrapText="1"/>
    </xf>
    <xf numFmtId="4" fontId="7" fillId="0"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4" fillId="3" borderId="2" xfId="3" applyNumberFormat="1" applyFont="1" applyFill="1" applyBorder="1" applyAlignment="1">
      <alignment horizontal="center" vertical="center" wrapText="1"/>
    </xf>
    <xf numFmtId="9" fontId="13" fillId="7" borderId="2" xfId="3" applyNumberFormat="1" applyFont="1" applyFill="1" applyBorder="1" applyAlignment="1">
      <alignment horizontal="center" vertical="center"/>
    </xf>
    <xf numFmtId="0" fontId="7" fillId="7" borderId="2" xfId="0" applyFont="1" applyFill="1" applyBorder="1" applyAlignment="1">
      <alignment horizontal="center" vertical="center" wrapText="1"/>
    </xf>
    <xf numFmtId="167" fontId="4" fillId="0" borderId="2" xfId="1" applyNumberFormat="1" applyFont="1" applyFill="1" applyBorder="1" applyAlignment="1">
      <alignment horizontal="center" vertical="center" wrapText="1"/>
    </xf>
    <xf numFmtId="2" fontId="7" fillId="0" borderId="2" xfId="0" applyNumberFormat="1" applyFont="1" applyFill="1" applyBorder="1" applyAlignment="1">
      <alignment horizontal="center" vertical="center" wrapText="1"/>
    </xf>
    <xf numFmtId="9" fontId="7" fillId="3" borderId="2" xfId="3" applyFont="1" applyFill="1" applyBorder="1" applyAlignment="1">
      <alignment horizontal="center" vertical="center" wrapText="1"/>
    </xf>
    <xf numFmtId="0" fontId="4" fillId="0" borderId="0" xfId="0" applyFont="1" applyAlignment="1">
      <alignment vertical="center"/>
    </xf>
    <xf numFmtId="0" fontId="0" fillId="0" borderId="0" xfId="0" applyAlignment="1">
      <alignment horizontal="left"/>
    </xf>
    <xf numFmtId="0" fontId="9" fillId="0" borderId="0" xfId="0" applyFont="1" applyAlignment="1">
      <alignment horizontal="left"/>
    </xf>
    <xf numFmtId="0" fontId="16" fillId="0" borderId="0" xfId="0" applyFont="1" applyAlignment="1">
      <alignment horizontal="center"/>
    </xf>
    <xf numFmtId="0" fontId="0" fillId="6" borderId="0" xfId="0" applyFill="1" applyAlignment="1">
      <alignment horizontal="left"/>
    </xf>
    <xf numFmtId="1" fontId="16" fillId="6" borderId="0" xfId="0" applyNumberFormat="1" applyFont="1" applyFill="1" applyAlignment="1">
      <alignment horizontal="left"/>
    </xf>
    <xf numFmtId="0" fontId="0" fillId="0" borderId="0" xfId="0" applyFont="1" applyFill="1" applyAlignment="1">
      <alignment horizontal="center"/>
    </xf>
    <xf numFmtId="0" fontId="9" fillId="0" borderId="0" xfId="0" applyFont="1" applyAlignment="1">
      <alignment horizontal="center"/>
    </xf>
    <xf numFmtId="44" fontId="4" fillId="0" borderId="4" xfId="2" applyFont="1" applyFill="1" applyBorder="1" applyAlignment="1">
      <alignment vertical="center" wrapText="1"/>
    </xf>
    <xf numFmtId="0" fontId="4" fillId="0" borderId="4" xfId="0" applyFont="1" applyFill="1" applyBorder="1" applyAlignment="1">
      <alignment vertical="center" wrapText="1"/>
    </xf>
    <xf numFmtId="2" fontId="4" fillId="0" borderId="4" xfId="0" applyNumberFormat="1" applyFont="1" applyFill="1" applyBorder="1" applyAlignment="1">
      <alignment vertical="center" wrapText="1"/>
    </xf>
    <xf numFmtId="43" fontId="4" fillId="0" borderId="4" xfId="1" applyFont="1" applyFill="1" applyBorder="1" applyAlignment="1">
      <alignment vertical="center" wrapText="1"/>
    </xf>
    <xf numFmtId="1" fontId="12" fillId="0" borderId="2" xfId="2" applyNumberFormat="1" applyFont="1" applyFill="1" applyBorder="1" applyAlignment="1">
      <alignment horizontal="center" vertical="center" wrapText="1"/>
    </xf>
    <xf numFmtId="1" fontId="10" fillId="0" borderId="2" xfId="0" applyNumberFormat="1" applyFont="1" applyFill="1" applyBorder="1" applyAlignment="1">
      <alignment horizontal="center" vertical="center" wrapText="1"/>
    </xf>
    <xf numFmtId="9" fontId="4" fillId="3" borderId="3" xfId="0" applyNumberFormat="1" applyFont="1" applyFill="1" applyBorder="1" applyAlignment="1">
      <alignment vertical="center" wrapText="1"/>
    </xf>
    <xf numFmtId="9" fontId="4" fillId="3" borderId="4" xfId="0" applyNumberFormat="1" applyFont="1" applyFill="1" applyBorder="1" applyAlignment="1">
      <alignment vertical="center" wrapText="1"/>
    </xf>
    <xf numFmtId="10" fontId="4" fillId="3" borderId="6" xfId="0" applyNumberFormat="1" applyFont="1" applyFill="1" applyBorder="1" applyAlignment="1">
      <alignment vertical="center" wrapText="1"/>
    </xf>
    <xf numFmtId="10" fontId="4" fillId="3" borderId="3" xfId="0" applyNumberFormat="1" applyFont="1" applyFill="1" applyBorder="1" applyAlignment="1">
      <alignment vertical="center" wrapText="1"/>
    </xf>
    <xf numFmtId="10" fontId="4" fillId="3" borderId="4" xfId="0" applyNumberFormat="1" applyFont="1" applyFill="1" applyBorder="1" applyAlignment="1">
      <alignment vertical="center" wrapText="1"/>
    </xf>
    <xf numFmtId="9" fontId="4" fillId="3" borderId="3" xfId="0" applyNumberFormat="1" applyFont="1" applyFill="1" applyBorder="1" applyAlignment="1">
      <alignment vertical="center"/>
    </xf>
    <xf numFmtId="9" fontId="4" fillId="3" borderId="4" xfId="0" applyNumberFormat="1" applyFont="1" applyFill="1" applyBorder="1" applyAlignment="1">
      <alignment vertical="center"/>
    </xf>
    <xf numFmtId="9" fontId="4" fillId="3" borderId="3" xfId="3" applyFont="1" applyFill="1" applyBorder="1" applyAlignment="1">
      <alignment vertical="center" wrapText="1"/>
    </xf>
    <xf numFmtId="9" fontId="4" fillId="3" borderId="4" xfId="3"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9" fontId="13" fillId="3" borderId="3" xfId="0" applyNumberFormat="1" applyFont="1" applyFill="1" applyBorder="1" applyAlignment="1">
      <alignment vertical="center" wrapText="1"/>
    </xf>
    <xf numFmtId="9" fontId="13" fillId="3" borderId="4" xfId="0" applyNumberFormat="1" applyFont="1" applyFill="1" applyBorder="1" applyAlignment="1">
      <alignment vertical="center" wrapText="1"/>
    </xf>
    <xf numFmtId="9" fontId="4" fillId="3" borderId="3" xfId="3" applyNumberFormat="1" applyFont="1" applyFill="1" applyBorder="1" applyAlignment="1">
      <alignment vertical="center" wrapText="1"/>
    </xf>
    <xf numFmtId="9" fontId="4" fillId="3" borderId="4" xfId="3" applyNumberFormat="1" applyFont="1" applyFill="1" applyBorder="1" applyAlignment="1">
      <alignment vertical="center" wrapText="1"/>
    </xf>
    <xf numFmtId="9" fontId="7" fillId="8" borderId="2" xfId="3" applyFont="1" applyFill="1" applyBorder="1" applyAlignment="1">
      <alignment horizontal="center" vertical="center" wrapText="1"/>
    </xf>
    <xf numFmtId="9" fontId="7" fillId="8" borderId="2" xfId="0" applyNumberFormat="1" applyFont="1" applyFill="1" applyBorder="1" applyAlignment="1">
      <alignment horizontal="center" vertical="center" wrapText="1"/>
    </xf>
    <xf numFmtId="9" fontId="7" fillId="4" borderId="2" xfId="3" applyFont="1" applyFill="1" applyBorder="1" applyAlignment="1">
      <alignment horizontal="center" vertical="center" wrapText="1"/>
    </xf>
    <xf numFmtId="9" fontId="7" fillId="4" borderId="2" xfId="0" applyNumberFormat="1" applyFont="1" applyFill="1" applyBorder="1" applyAlignment="1">
      <alignment horizontal="center" vertical="center" wrapText="1"/>
    </xf>
    <xf numFmtId="10" fontId="4" fillId="3" borderId="2" xfId="3" applyNumberFormat="1" applyFont="1" applyFill="1" applyBorder="1" applyAlignment="1">
      <alignment horizontal="center" vertical="center"/>
    </xf>
    <xf numFmtId="9" fontId="4" fillId="4" borderId="2" xfId="0" applyNumberFormat="1" applyFont="1" applyFill="1" applyBorder="1" applyAlignment="1">
      <alignment horizontal="center" vertical="center"/>
    </xf>
    <xf numFmtId="9" fontId="4" fillId="4" borderId="2" xfId="0" applyNumberFormat="1" applyFont="1" applyFill="1" applyBorder="1" applyAlignment="1">
      <alignment horizontal="center" vertical="center" wrapText="1"/>
    </xf>
    <xf numFmtId="10" fontId="4" fillId="4" borderId="2"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2" fillId="2" borderId="21" xfId="0" applyFont="1" applyFill="1" applyBorder="1" applyAlignment="1">
      <alignment horizontal="center" vertical="center" wrapText="1"/>
    </xf>
  </cellXfs>
  <cellStyles count="17">
    <cellStyle name="Comma 2" xfId="4"/>
    <cellStyle name="Currency 2" xfId="5"/>
    <cellStyle name="Euro" xfId="6"/>
    <cellStyle name="Euro 2" xfId="7"/>
    <cellStyle name="Euro 2 2" xfId="8"/>
    <cellStyle name="Euro 3" xfId="9"/>
    <cellStyle name="Millares" xfId="1" builtinId="3"/>
    <cellStyle name="Millares 2" xfId="10"/>
    <cellStyle name="Millares 2 2" xfId="11"/>
    <cellStyle name="Millares 3" xfId="12"/>
    <cellStyle name="Moneda" xfId="2" builtinId="4"/>
    <cellStyle name="Moneda 2" xfId="13"/>
    <cellStyle name="Normal" xfId="0" builtinId="0"/>
    <cellStyle name="Normal 2" xfId="14"/>
    <cellStyle name="Normal 4" xfId="15"/>
    <cellStyle name="Normal 7" xfId="16"/>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71"/>
  <sheetViews>
    <sheetView tabSelected="1" topLeftCell="I1" zoomScale="50" zoomScaleNormal="50" zoomScaleSheetLayoutView="40" zoomScalePageLayoutView="50" workbookViewId="0">
      <selection activeCell="S3" sqref="S3"/>
    </sheetView>
  </sheetViews>
  <sheetFormatPr baseColWidth="10" defaultRowHeight="28.5" x14ac:dyDescent="0.45"/>
  <cols>
    <col min="1" max="1" width="61.28515625" style="1" bestFit="1" customWidth="1"/>
    <col min="2" max="2" width="61.28515625" style="1" customWidth="1"/>
    <col min="3" max="5" width="29.42578125" customWidth="1"/>
    <col min="6" max="6" width="29.42578125" style="1" customWidth="1"/>
    <col min="7" max="7" width="41.140625" style="111" customWidth="1"/>
    <col min="8" max="9" width="52" style="110" customWidth="1"/>
    <col min="10" max="11" width="41.42578125" style="110" customWidth="1"/>
    <col min="12" max="12" width="41.42578125" customWidth="1"/>
    <col min="13" max="13" width="41.42578125" style="113" customWidth="1"/>
    <col min="14" max="14" width="41.42578125" style="114" customWidth="1"/>
    <col min="15" max="15" width="41.42578125" style="112" customWidth="1"/>
    <col min="16" max="16" width="41.42578125" style="115" customWidth="1"/>
    <col min="17" max="17" width="41.42578125" style="116" customWidth="1"/>
  </cols>
  <sheetData>
    <row r="1" spans="1:17" s="1" customFormat="1" ht="35.25" customHeight="1" thickBot="1" x14ac:dyDescent="0.3">
      <c r="A1" s="147" t="s">
        <v>0</v>
      </c>
      <c r="B1" s="159" t="s">
        <v>3016</v>
      </c>
      <c r="C1" s="157" t="s">
        <v>1</v>
      </c>
      <c r="D1" s="149" t="s">
        <v>2</v>
      </c>
      <c r="E1" s="150"/>
      <c r="F1" s="151"/>
      <c r="G1" s="147" t="s">
        <v>3</v>
      </c>
      <c r="H1" s="155" t="s">
        <v>4</v>
      </c>
      <c r="I1" s="153" t="s">
        <v>3045</v>
      </c>
      <c r="J1" s="153" t="s">
        <v>5</v>
      </c>
      <c r="K1" s="153" t="s">
        <v>6</v>
      </c>
      <c r="L1" s="146"/>
      <c r="M1" s="146"/>
      <c r="N1" s="150"/>
      <c r="O1" s="151"/>
      <c r="P1" s="150"/>
      <c r="Q1" s="151"/>
    </row>
    <row r="2" spans="1:17" ht="120.75" customHeight="1" thickBot="1" x14ac:dyDescent="0.3">
      <c r="A2" s="148"/>
      <c r="B2" s="160"/>
      <c r="C2" s="158"/>
      <c r="D2" s="2" t="s">
        <v>7</v>
      </c>
      <c r="E2" s="3" t="s">
        <v>8</v>
      </c>
      <c r="F2" s="4" t="s">
        <v>9</v>
      </c>
      <c r="G2" s="161"/>
      <c r="H2" s="156"/>
      <c r="I2" s="154"/>
      <c r="J2" s="154"/>
      <c r="K2" s="154"/>
      <c r="L2" s="5" t="s">
        <v>10</v>
      </c>
      <c r="M2" s="6" t="s">
        <v>11</v>
      </c>
      <c r="N2" s="7" t="s">
        <v>12</v>
      </c>
      <c r="O2" s="7" t="s">
        <v>13</v>
      </c>
      <c r="P2" s="8" t="s">
        <v>14</v>
      </c>
      <c r="Q2" s="9" t="s">
        <v>15</v>
      </c>
    </row>
    <row r="3" spans="1:17" s="20" customFormat="1" ht="190.5" customHeight="1" x14ac:dyDescent="0.35">
      <c r="A3" s="11" t="s">
        <v>16</v>
      </c>
      <c r="B3" s="10" t="s">
        <v>3017</v>
      </c>
      <c r="C3" s="10" t="s">
        <v>17</v>
      </c>
      <c r="D3" s="13" t="s">
        <v>18</v>
      </c>
      <c r="E3" s="14" t="s">
        <v>19</v>
      </c>
      <c r="F3" s="14" t="s">
        <v>20</v>
      </c>
      <c r="G3" s="15" t="s">
        <v>21</v>
      </c>
      <c r="H3" s="16" t="s">
        <v>22</v>
      </c>
      <c r="I3" s="152" t="s">
        <v>3046</v>
      </c>
      <c r="J3" s="17" t="s">
        <v>23</v>
      </c>
      <c r="K3" s="16" t="s">
        <v>24</v>
      </c>
      <c r="L3" s="11" t="s">
        <v>25</v>
      </c>
      <c r="M3" s="11" t="s">
        <v>26</v>
      </c>
      <c r="N3" s="22" t="s">
        <v>27</v>
      </c>
      <c r="O3" s="22" t="s">
        <v>28</v>
      </c>
      <c r="P3" s="18">
        <f>53/54</f>
        <v>0.98148148148148151</v>
      </c>
      <c r="Q3" s="19" t="s">
        <v>15</v>
      </c>
    </row>
    <row r="4" spans="1:17" s="20" customFormat="1" ht="249.95" customHeight="1" x14ac:dyDescent="0.35">
      <c r="A4" s="10" t="s">
        <v>16</v>
      </c>
      <c r="B4" s="10" t="s">
        <v>3017</v>
      </c>
      <c r="C4" s="10" t="s">
        <v>29</v>
      </c>
      <c r="D4" s="17" t="s">
        <v>30</v>
      </c>
      <c r="E4" s="21" t="s">
        <v>31</v>
      </c>
      <c r="F4" s="21" t="s">
        <v>32</v>
      </c>
      <c r="G4" s="16" t="s">
        <v>33</v>
      </c>
      <c r="H4" s="16" t="s">
        <v>34</v>
      </c>
      <c r="I4" s="65" t="s">
        <v>3046</v>
      </c>
      <c r="J4" s="17" t="s">
        <v>35</v>
      </c>
      <c r="K4" s="16" t="s">
        <v>24</v>
      </c>
      <c r="L4" s="10" t="s">
        <v>36</v>
      </c>
      <c r="M4" s="10" t="s">
        <v>37</v>
      </c>
      <c r="N4" s="10" t="s">
        <v>38</v>
      </c>
      <c r="O4" s="10" t="s">
        <v>39</v>
      </c>
      <c r="P4" s="24">
        <f>(119+24)/174</f>
        <v>0.82183908045977017</v>
      </c>
      <c r="Q4" s="25">
        <f>(504+24)/522</f>
        <v>1.0114942528735633</v>
      </c>
    </row>
    <row r="5" spans="1:17" s="20" customFormat="1" ht="249.95" customHeight="1" x14ac:dyDescent="0.35">
      <c r="A5" s="10" t="s">
        <v>16</v>
      </c>
      <c r="B5" s="10" t="s">
        <v>3017</v>
      </c>
      <c r="C5" s="10" t="s">
        <v>17</v>
      </c>
      <c r="D5" s="10" t="s">
        <v>41</v>
      </c>
      <c r="E5" s="10" t="s">
        <v>41</v>
      </c>
      <c r="F5" s="10" t="s">
        <v>41</v>
      </c>
      <c r="G5" s="10" t="s">
        <v>42</v>
      </c>
      <c r="H5" s="10" t="s">
        <v>43</v>
      </c>
      <c r="I5" s="152" t="s">
        <v>3047</v>
      </c>
      <c r="J5" s="10" t="s">
        <v>44</v>
      </c>
      <c r="K5" s="10" t="s">
        <v>45</v>
      </c>
      <c r="L5" s="10" t="s">
        <v>46</v>
      </c>
      <c r="M5" s="10" t="s">
        <v>47</v>
      </c>
      <c r="N5" s="28" t="s">
        <v>2853</v>
      </c>
      <c r="O5" s="28" t="s">
        <v>2853</v>
      </c>
      <c r="P5" s="30">
        <v>0.875</v>
      </c>
      <c r="Q5" s="31">
        <v>0.875</v>
      </c>
    </row>
    <row r="6" spans="1:17" s="20" customFormat="1" ht="249.95" customHeight="1" x14ac:dyDescent="0.35">
      <c r="A6" s="10" t="s">
        <v>16</v>
      </c>
      <c r="B6" s="10" t="s">
        <v>3017</v>
      </c>
      <c r="C6" s="10" t="s">
        <v>17</v>
      </c>
      <c r="D6" s="10" t="s">
        <v>48</v>
      </c>
      <c r="E6" s="10" t="s">
        <v>48</v>
      </c>
      <c r="F6" s="10" t="s">
        <v>48</v>
      </c>
      <c r="G6" s="10" t="s">
        <v>49</v>
      </c>
      <c r="H6" s="10" t="s">
        <v>50</v>
      </c>
      <c r="I6" s="65" t="s">
        <v>3047</v>
      </c>
      <c r="J6" s="10" t="s">
        <v>51</v>
      </c>
      <c r="K6" s="10" t="s">
        <v>52</v>
      </c>
      <c r="L6" s="10" t="s">
        <v>53</v>
      </c>
      <c r="M6" s="10" t="s">
        <v>54</v>
      </c>
      <c r="N6" s="10" t="s">
        <v>55</v>
      </c>
      <c r="O6" s="10" t="s">
        <v>55</v>
      </c>
      <c r="P6" s="32">
        <v>0.9022</v>
      </c>
      <c r="Q6" s="32">
        <v>0.9022</v>
      </c>
    </row>
    <row r="7" spans="1:17" s="20" customFormat="1" ht="249.95" customHeight="1" x14ac:dyDescent="0.35">
      <c r="A7" s="10" t="s">
        <v>16</v>
      </c>
      <c r="B7" s="10" t="s">
        <v>3017</v>
      </c>
      <c r="C7" s="10" t="s">
        <v>17</v>
      </c>
      <c r="D7" s="10" t="s">
        <v>56</v>
      </c>
      <c r="E7" s="10" t="s">
        <v>57</v>
      </c>
      <c r="F7" s="10" t="s">
        <v>58</v>
      </c>
      <c r="G7" s="10" t="s">
        <v>59</v>
      </c>
      <c r="H7" s="10" t="s">
        <v>60</v>
      </c>
      <c r="I7" s="65" t="s">
        <v>3046</v>
      </c>
      <c r="J7" s="10" t="s">
        <v>61</v>
      </c>
      <c r="K7" s="10" t="s">
        <v>45</v>
      </c>
      <c r="L7" s="10"/>
      <c r="M7" s="10" t="s">
        <v>62</v>
      </c>
      <c r="N7" s="10" t="s">
        <v>2855</v>
      </c>
      <c r="O7" s="10" t="s">
        <v>2929</v>
      </c>
      <c r="P7" s="33">
        <f>22202/2400</f>
        <v>9.2508333333333326</v>
      </c>
      <c r="Q7" s="34">
        <f>27375/7200</f>
        <v>3.8020833333333335</v>
      </c>
    </row>
    <row r="8" spans="1:17" s="20" customFormat="1" ht="249.95" customHeight="1" x14ac:dyDescent="0.35">
      <c r="A8" s="10" t="s">
        <v>16</v>
      </c>
      <c r="B8" s="10" t="s">
        <v>3017</v>
      </c>
      <c r="C8" s="10" t="s">
        <v>17</v>
      </c>
      <c r="D8" s="17" t="s">
        <v>63</v>
      </c>
      <c r="E8" s="17" t="s">
        <v>64</v>
      </c>
      <c r="F8" s="17" t="s">
        <v>65</v>
      </c>
      <c r="G8" s="16" t="s">
        <v>66</v>
      </c>
      <c r="H8" s="16" t="s">
        <v>67</v>
      </c>
      <c r="I8" s="152" t="s">
        <v>3046</v>
      </c>
      <c r="J8" s="17" t="s">
        <v>68</v>
      </c>
      <c r="K8" s="16" t="s">
        <v>24</v>
      </c>
      <c r="L8" s="10" t="s">
        <v>69</v>
      </c>
      <c r="M8" s="10" t="s">
        <v>70</v>
      </c>
      <c r="N8" s="10" t="s">
        <v>2856</v>
      </c>
      <c r="O8" s="10" t="s">
        <v>2930</v>
      </c>
      <c r="P8" s="33">
        <f>562/200</f>
        <v>2.81</v>
      </c>
      <c r="Q8" s="25">
        <f>1761/600</f>
        <v>2.9350000000000001</v>
      </c>
    </row>
    <row r="9" spans="1:17" s="36" customFormat="1" ht="249.95" customHeight="1" x14ac:dyDescent="0.35">
      <c r="A9" s="10" t="s">
        <v>16</v>
      </c>
      <c r="B9" s="10" t="s">
        <v>3017</v>
      </c>
      <c r="C9" s="10" t="s">
        <v>29</v>
      </c>
      <c r="D9" s="17" t="s">
        <v>30</v>
      </c>
      <c r="E9" s="17" t="s">
        <v>71</v>
      </c>
      <c r="F9" s="17" t="s">
        <v>72</v>
      </c>
      <c r="G9" s="16" t="s">
        <v>73</v>
      </c>
      <c r="H9" s="16" t="s">
        <v>74</v>
      </c>
      <c r="I9" s="152" t="s">
        <v>3046</v>
      </c>
      <c r="J9" s="17" t="s">
        <v>75</v>
      </c>
      <c r="K9" s="16" t="s">
        <v>24</v>
      </c>
      <c r="L9" s="10" t="s">
        <v>76</v>
      </c>
      <c r="M9" s="10" t="s">
        <v>77</v>
      </c>
      <c r="N9" s="10" t="s">
        <v>78</v>
      </c>
      <c r="O9" s="10" t="s">
        <v>79</v>
      </c>
      <c r="P9" s="35">
        <f>13/30</f>
        <v>0.43333333333333335</v>
      </c>
      <c r="Q9" s="25">
        <f>83/90</f>
        <v>0.92222222222222228</v>
      </c>
    </row>
    <row r="10" spans="1:17" s="36" customFormat="1" ht="249.95" customHeight="1" x14ac:dyDescent="0.35">
      <c r="A10" s="10" t="s">
        <v>16</v>
      </c>
      <c r="B10" s="10"/>
      <c r="C10" s="10"/>
      <c r="D10" s="17" t="s">
        <v>30</v>
      </c>
      <c r="E10" s="17" t="s">
        <v>80</v>
      </c>
      <c r="F10" s="17" t="s">
        <v>80</v>
      </c>
      <c r="G10" s="16" t="s">
        <v>81</v>
      </c>
      <c r="H10" s="16"/>
      <c r="I10" s="65" t="s">
        <v>3046</v>
      </c>
      <c r="J10" s="17"/>
      <c r="K10" s="16"/>
      <c r="L10" s="10"/>
      <c r="M10" s="10"/>
      <c r="N10" s="10" t="s">
        <v>82</v>
      </c>
      <c r="O10" s="10" t="s">
        <v>82</v>
      </c>
      <c r="P10" s="33">
        <f>5/5</f>
        <v>1</v>
      </c>
      <c r="Q10" s="25">
        <f>5/5</f>
        <v>1</v>
      </c>
    </row>
    <row r="11" spans="1:17" s="20" customFormat="1" ht="249.95" customHeight="1" x14ac:dyDescent="0.35">
      <c r="A11" s="10" t="s">
        <v>16</v>
      </c>
      <c r="B11" s="10" t="s">
        <v>3017</v>
      </c>
      <c r="C11" s="10" t="s">
        <v>29</v>
      </c>
      <c r="D11" s="16" t="s">
        <v>30</v>
      </c>
      <c r="E11" s="16" t="s">
        <v>83</v>
      </c>
      <c r="F11" s="16" t="s">
        <v>84</v>
      </c>
      <c r="G11" s="16" t="s">
        <v>85</v>
      </c>
      <c r="H11" s="16" t="s">
        <v>86</v>
      </c>
      <c r="I11" s="152" t="s">
        <v>3046</v>
      </c>
      <c r="J11" s="16" t="s">
        <v>87</v>
      </c>
      <c r="K11" s="16" t="s">
        <v>24</v>
      </c>
      <c r="L11" s="10" t="s">
        <v>88</v>
      </c>
      <c r="M11" s="10" t="s">
        <v>89</v>
      </c>
      <c r="N11" s="10" t="s">
        <v>90</v>
      </c>
      <c r="O11" s="10" t="s">
        <v>91</v>
      </c>
      <c r="P11" s="35">
        <f>0/8</f>
        <v>0</v>
      </c>
      <c r="Q11" s="37">
        <f>14/24</f>
        <v>0.58333333333333337</v>
      </c>
    </row>
    <row r="12" spans="1:17" s="20" customFormat="1" ht="249.95" customHeight="1" x14ac:dyDescent="0.35">
      <c r="A12" s="10" t="s">
        <v>16</v>
      </c>
      <c r="B12" s="10" t="s">
        <v>3017</v>
      </c>
      <c r="C12" s="10" t="s">
        <v>29</v>
      </c>
      <c r="D12" s="16" t="s">
        <v>30</v>
      </c>
      <c r="E12" s="16" t="s">
        <v>92</v>
      </c>
      <c r="F12" s="16" t="s">
        <v>93</v>
      </c>
      <c r="G12" s="16" t="s">
        <v>94</v>
      </c>
      <c r="H12" s="16" t="s">
        <v>95</v>
      </c>
      <c r="I12" s="65" t="s">
        <v>3046</v>
      </c>
      <c r="J12" s="16" t="s">
        <v>96</v>
      </c>
      <c r="K12" s="16" t="s">
        <v>45</v>
      </c>
      <c r="L12" s="10" t="s">
        <v>97</v>
      </c>
      <c r="M12" s="10" t="s">
        <v>98</v>
      </c>
      <c r="N12" s="27" t="s">
        <v>2857</v>
      </c>
      <c r="O12" s="10" t="s">
        <v>2931</v>
      </c>
      <c r="P12" s="33">
        <f>13/10</f>
        <v>1.3</v>
      </c>
      <c r="Q12" s="25">
        <f>29/28</f>
        <v>1.0357142857142858</v>
      </c>
    </row>
    <row r="13" spans="1:17" s="20" customFormat="1" ht="249.95" customHeight="1" x14ac:dyDescent="0.35">
      <c r="A13" s="10" t="s">
        <v>16</v>
      </c>
      <c r="B13" s="10" t="s">
        <v>3018</v>
      </c>
      <c r="C13" s="10" t="s">
        <v>17</v>
      </c>
      <c r="D13" s="21" t="s">
        <v>99</v>
      </c>
      <c r="E13" s="21" t="s">
        <v>100</v>
      </c>
      <c r="F13" s="21" t="s">
        <v>101</v>
      </c>
      <c r="G13" s="16" t="s">
        <v>102</v>
      </c>
      <c r="H13" s="16" t="s">
        <v>103</v>
      </c>
      <c r="I13" s="152" t="s">
        <v>3046</v>
      </c>
      <c r="J13" s="17" t="s">
        <v>104</v>
      </c>
      <c r="K13" s="16" t="s">
        <v>24</v>
      </c>
      <c r="L13" s="10" t="s">
        <v>105</v>
      </c>
      <c r="M13" s="10" t="s">
        <v>106</v>
      </c>
      <c r="N13" s="27" t="s">
        <v>2858</v>
      </c>
      <c r="O13" s="10" t="s">
        <v>2932</v>
      </c>
      <c r="P13" s="24">
        <f>13750/24750</f>
        <v>0.55555555555555558</v>
      </c>
      <c r="Q13" s="37">
        <f>43750/74250</f>
        <v>0.58922558922558921</v>
      </c>
    </row>
    <row r="14" spans="1:17" s="20" customFormat="1" ht="249.95" customHeight="1" x14ac:dyDescent="0.35">
      <c r="A14" s="10" t="s">
        <v>16</v>
      </c>
      <c r="B14" s="10" t="s">
        <v>3018</v>
      </c>
      <c r="C14" s="10" t="s">
        <v>29</v>
      </c>
      <c r="D14" s="10" t="s">
        <v>30</v>
      </c>
      <c r="E14" s="16" t="s">
        <v>107</v>
      </c>
      <c r="F14" s="16" t="s">
        <v>108</v>
      </c>
      <c r="G14" s="16" t="s">
        <v>109</v>
      </c>
      <c r="H14" s="16" t="s">
        <v>110</v>
      </c>
      <c r="I14" s="152" t="s">
        <v>3046</v>
      </c>
      <c r="J14" s="16" t="s">
        <v>111</v>
      </c>
      <c r="K14" s="16" t="s">
        <v>24</v>
      </c>
      <c r="L14" s="10" t="s">
        <v>112</v>
      </c>
      <c r="M14" s="10" t="s">
        <v>113</v>
      </c>
      <c r="N14" s="27" t="s">
        <v>113</v>
      </c>
      <c r="O14" s="10" t="s">
        <v>114</v>
      </c>
      <c r="P14" s="35">
        <f>80/200</f>
        <v>0.4</v>
      </c>
      <c r="Q14" s="37">
        <f>289/600</f>
        <v>0.48166666666666669</v>
      </c>
    </row>
    <row r="15" spans="1:17" s="36" customFormat="1" ht="315.75" customHeight="1" x14ac:dyDescent="0.35">
      <c r="A15" s="10" t="s">
        <v>16</v>
      </c>
      <c r="B15" s="10" t="s">
        <v>3018</v>
      </c>
      <c r="C15" s="10" t="s">
        <v>17</v>
      </c>
      <c r="D15" s="10" t="s">
        <v>116</v>
      </c>
      <c r="E15" s="16" t="s">
        <v>117</v>
      </c>
      <c r="F15" s="16" t="s">
        <v>118</v>
      </c>
      <c r="G15" s="16" t="s">
        <v>119</v>
      </c>
      <c r="H15" s="16" t="s">
        <v>120</v>
      </c>
      <c r="I15" s="152" t="s">
        <v>3046</v>
      </c>
      <c r="J15" s="16" t="s">
        <v>111</v>
      </c>
      <c r="K15" s="16" t="s">
        <v>115</v>
      </c>
      <c r="L15" s="10" t="s">
        <v>121</v>
      </c>
      <c r="M15" s="10" t="s">
        <v>122</v>
      </c>
      <c r="N15" s="29" t="s">
        <v>123</v>
      </c>
      <c r="O15" s="10" t="s">
        <v>2933</v>
      </c>
      <c r="P15" s="35">
        <v>0.28999999999999998</v>
      </c>
      <c r="Q15" s="25">
        <v>0.77</v>
      </c>
    </row>
    <row r="16" spans="1:17" s="20" customFormat="1" ht="249.95" customHeight="1" x14ac:dyDescent="0.35">
      <c r="A16" s="10" t="s">
        <v>16</v>
      </c>
      <c r="B16" s="10" t="s">
        <v>3018</v>
      </c>
      <c r="C16" s="10" t="s">
        <v>29</v>
      </c>
      <c r="D16" s="10" t="s">
        <v>30</v>
      </c>
      <c r="E16" s="16" t="s">
        <v>124</v>
      </c>
      <c r="F16" s="16" t="s">
        <v>125</v>
      </c>
      <c r="G16" s="16" t="s">
        <v>126</v>
      </c>
      <c r="H16" s="16" t="s">
        <v>127</v>
      </c>
      <c r="I16" s="65" t="s">
        <v>3046</v>
      </c>
      <c r="J16" s="16" t="s">
        <v>128</v>
      </c>
      <c r="K16" s="16" t="s">
        <v>24</v>
      </c>
      <c r="L16" s="10" t="s">
        <v>129</v>
      </c>
      <c r="M16" s="10" t="s">
        <v>130</v>
      </c>
      <c r="N16" s="27" t="s">
        <v>2859</v>
      </c>
      <c r="O16" s="10" t="s">
        <v>2934</v>
      </c>
      <c r="P16" s="33">
        <f>1598/1438</f>
        <v>1.1112656467315716</v>
      </c>
      <c r="Q16" s="25">
        <f>5014/4314</f>
        <v>1.1622624014835419</v>
      </c>
    </row>
    <row r="17" spans="1:17" s="36" customFormat="1" ht="249.95" customHeight="1" x14ac:dyDescent="0.35">
      <c r="A17" s="10" t="s">
        <v>16</v>
      </c>
      <c r="B17" s="10" t="s">
        <v>3018</v>
      </c>
      <c r="C17" s="10" t="s">
        <v>17</v>
      </c>
      <c r="D17" s="10" t="s">
        <v>131</v>
      </c>
      <c r="E17" s="16" t="s">
        <v>132</v>
      </c>
      <c r="F17" s="16" t="s">
        <v>133</v>
      </c>
      <c r="G17" s="16" t="s">
        <v>134</v>
      </c>
      <c r="H17" s="16" t="s">
        <v>135</v>
      </c>
      <c r="I17" s="152" t="s">
        <v>3046</v>
      </c>
      <c r="J17" s="16" t="s">
        <v>128</v>
      </c>
      <c r="K17" s="16" t="s">
        <v>24</v>
      </c>
      <c r="L17" s="10" t="s">
        <v>136</v>
      </c>
      <c r="M17" s="10" t="s">
        <v>137</v>
      </c>
      <c r="N17" s="27" t="s">
        <v>2860</v>
      </c>
      <c r="O17" s="10" t="s">
        <v>2935</v>
      </c>
      <c r="P17" s="35">
        <f>247/600</f>
        <v>0.41166666666666668</v>
      </c>
      <c r="Q17" s="37">
        <f>859/1200</f>
        <v>0.71583333333333332</v>
      </c>
    </row>
    <row r="18" spans="1:17" s="20" customFormat="1" ht="249.95" customHeight="1" x14ac:dyDescent="0.35">
      <c r="A18" s="10" t="s">
        <v>16</v>
      </c>
      <c r="B18" s="10" t="s">
        <v>3018</v>
      </c>
      <c r="C18" s="10" t="s">
        <v>29</v>
      </c>
      <c r="D18" s="10" t="s">
        <v>30</v>
      </c>
      <c r="E18" s="16" t="s">
        <v>138</v>
      </c>
      <c r="F18" s="16" t="s">
        <v>139</v>
      </c>
      <c r="G18" s="16" t="s">
        <v>140</v>
      </c>
      <c r="H18" s="16" t="s">
        <v>141</v>
      </c>
      <c r="I18" s="65" t="s">
        <v>3046</v>
      </c>
      <c r="J18" s="16" t="s">
        <v>128</v>
      </c>
      <c r="K18" s="16" t="s">
        <v>24</v>
      </c>
      <c r="L18" s="10" t="s">
        <v>142</v>
      </c>
      <c r="M18" s="10" t="s">
        <v>143</v>
      </c>
      <c r="N18" s="10" t="s">
        <v>139</v>
      </c>
      <c r="O18" s="10" t="s">
        <v>144</v>
      </c>
      <c r="P18" s="33">
        <f>20000/10000</f>
        <v>2</v>
      </c>
      <c r="Q18" s="25">
        <f>23000/20000</f>
        <v>1.1499999999999999</v>
      </c>
    </row>
    <row r="19" spans="1:17" s="20" customFormat="1" ht="249.95" customHeight="1" x14ac:dyDescent="0.35">
      <c r="A19" s="10" t="s">
        <v>16</v>
      </c>
      <c r="B19" s="10" t="s">
        <v>3018</v>
      </c>
      <c r="C19" s="10" t="s">
        <v>17</v>
      </c>
      <c r="D19" s="10" t="s">
        <v>145</v>
      </c>
      <c r="E19" s="16" t="s">
        <v>146</v>
      </c>
      <c r="F19" s="16" t="s">
        <v>146</v>
      </c>
      <c r="G19" s="16" t="s">
        <v>147</v>
      </c>
      <c r="H19" s="16" t="s">
        <v>148</v>
      </c>
      <c r="I19" s="65" t="s">
        <v>3046</v>
      </c>
      <c r="J19" s="16" t="s">
        <v>149</v>
      </c>
      <c r="K19" s="16" t="s">
        <v>24</v>
      </c>
      <c r="L19" s="10"/>
      <c r="M19" s="10"/>
      <c r="N19" s="10" t="s">
        <v>151</v>
      </c>
      <c r="O19" s="10" t="s">
        <v>150</v>
      </c>
      <c r="P19" s="35">
        <f>0/6500</f>
        <v>0</v>
      </c>
      <c r="Q19" s="43">
        <f>0/6500</f>
        <v>0</v>
      </c>
    </row>
    <row r="20" spans="1:17" s="20" customFormat="1" ht="249.95" customHeight="1" x14ac:dyDescent="0.35">
      <c r="A20" s="10" t="s">
        <v>16</v>
      </c>
      <c r="B20" s="10" t="s">
        <v>3018</v>
      </c>
      <c r="C20" s="10" t="s">
        <v>17</v>
      </c>
      <c r="D20" s="16" t="s">
        <v>152</v>
      </c>
      <c r="E20" s="16" t="s">
        <v>153</v>
      </c>
      <c r="F20" s="16" t="s">
        <v>154</v>
      </c>
      <c r="G20" s="16" t="s">
        <v>155</v>
      </c>
      <c r="H20" s="16" t="s">
        <v>156</v>
      </c>
      <c r="I20" s="65" t="s">
        <v>3046</v>
      </c>
      <c r="J20" s="44" t="s">
        <v>157</v>
      </c>
      <c r="K20" s="16" t="s">
        <v>24</v>
      </c>
      <c r="L20" s="10" t="s">
        <v>158</v>
      </c>
      <c r="M20" s="10" t="s">
        <v>159</v>
      </c>
      <c r="N20" s="27" t="s">
        <v>160</v>
      </c>
      <c r="O20" s="10" t="s">
        <v>161</v>
      </c>
      <c r="P20" s="33">
        <f>16821/14000</f>
        <v>1.2015</v>
      </c>
      <c r="Q20" s="25">
        <f>33191/42800</f>
        <v>0.77549065420560748</v>
      </c>
    </row>
    <row r="21" spans="1:17" s="20" customFormat="1" ht="249.95" customHeight="1" x14ac:dyDescent="0.35">
      <c r="A21" s="10" t="s">
        <v>16</v>
      </c>
      <c r="B21" s="10" t="s">
        <v>3018</v>
      </c>
      <c r="C21" s="10" t="s">
        <v>29</v>
      </c>
      <c r="D21" s="17" t="s">
        <v>30</v>
      </c>
      <c r="E21" s="17" t="s">
        <v>162</v>
      </c>
      <c r="F21" s="17" t="s">
        <v>162</v>
      </c>
      <c r="G21" s="16" t="s">
        <v>163</v>
      </c>
      <c r="H21" s="16" t="s">
        <v>164</v>
      </c>
      <c r="I21" s="152" t="s">
        <v>3046</v>
      </c>
      <c r="J21" s="17" t="s">
        <v>165</v>
      </c>
      <c r="K21" s="16" t="s">
        <v>24</v>
      </c>
      <c r="L21" s="10" t="s">
        <v>166</v>
      </c>
      <c r="M21" s="10" t="s">
        <v>167</v>
      </c>
      <c r="N21" s="10" t="s">
        <v>168</v>
      </c>
      <c r="O21" s="10" t="s">
        <v>162</v>
      </c>
      <c r="P21" s="126"/>
      <c r="Q21" s="127"/>
    </row>
    <row r="22" spans="1:17" s="20" customFormat="1" ht="249.95" customHeight="1" x14ac:dyDescent="0.35">
      <c r="A22" s="10" t="s">
        <v>16</v>
      </c>
      <c r="B22" s="10" t="s">
        <v>3018</v>
      </c>
      <c r="C22" s="10" t="s">
        <v>17</v>
      </c>
      <c r="D22" s="45" t="s">
        <v>170</v>
      </c>
      <c r="E22" s="45" t="s">
        <v>171</v>
      </c>
      <c r="F22" s="45" t="s">
        <v>172</v>
      </c>
      <c r="G22" s="16" t="s">
        <v>173</v>
      </c>
      <c r="H22" s="16" t="s">
        <v>174</v>
      </c>
      <c r="I22" s="152" t="s">
        <v>3046</v>
      </c>
      <c r="J22" s="17" t="s">
        <v>175</v>
      </c>
      <c r="K22" s="16" t="s">
        <v>24</v>
      </c>
      <c r="L22" s="10" t="s">
        <v>176</v>
      </c>
      <c r="M22" s="10" t="s">
        <v>177</v>
      </c>
      <c r="N22" s="10" t="s">
        <v>179</v>
      </c>
      <c r="O22" s="10" t="s">
        <v>180</v>
      </c>
      <c r="P22" s="35">
        <f>3/12</f>
        <v>0.25</v>
      </c>
      <c r="Q22" s="37">
        <f>24/36</f>
        <v>0.66666666666666663</v>
      </c>
    </row>
    <row r="23" spans="1:17" s="20" customFormat="1" ht="249.95" customHeight="1" x14ac:dyDescent="0.35">
      <c r="A23" s="10" t="s">
        <v>16</v>
      </c>
      <c r="B23" s="10" t="s">
        <v>3018</v>
      </c>
      <c r="C23" s="10" t="s">
        <v>17</v>
      </c>
      <c r="D23" s="17" t="s">
        <v>181</v>
      </c>
      <c r="E23" s="17" t="s">
        <v>63</v>
      </c>
      <c r="F23" s="17" t="s">
        <v>182</v>
      </c>
      <c r="G23" s="16" t="s">
        <v>183</v>
      </c>
      <c r="H23" s="16" t="s">
        <v>184</v>
      </c>
      <c r="I23" s="152" t="s">
        <v>3046</v>
      </c>
      <c r="J23" s="17" t="s">
        <v>185</v>
      </c>
      <c r="K23" s="16" t="s">
        <v>24</v>
      </c>
      <c r="L23" s="10" t="s">
        <v>186</v>
      </c>
      <c r="M23" s="10" t="s">
        <v>187</v>
      </c>
      <c r="N23" s="10" t="s">
        <v>188</v>
      </c>
      <c r="O23" s="10" t="s">
        <v>189</v>
      </c>
      <c r="P23" s="24">
        <f>35/50</f>
        <v>0.7</v>
      </c>
      <c r="Q23" s="37">
        <f>122/150</f>
        <v>0.81333333333333335</v>
      </c>
    </row>
    <row r="24" spans="1:17" s="36" customFormat="1" ht="249.95" customHeight="1" x14ac:dyDescent="0.35">
      <c r="A24" s="10" t="s">
        <v>16</v>
      </c>
      <c r="B24" s="10" t="s">
        <v>3018</v>
      </c>
      <c r="C24" s="10" t="s">
        <v>29</v>
      </c>
      <c r="D24" s="17" t="s">
        <v>30</v>
      </c>
      <c r="E24" s="17" t="s">
        <v>190</v>
      </c>
      <c r="F24" s="17" t="s">
        <v>191</v>
      </c>
      <c r="G24" s="16" t="s">
        <v>192</v>
      </c>
      <c r="H24" s="16" t="s">
        <v>193</v>
      </c>
      <c r="I24" s="152" t="s">
        <v>3046</v>
      </c>
      <c r="J24" s="17" t="s">
        <v>194</v>
      </c>
      <c r="K24" s="16" t="s">
        <v>24</v>
      </c>
      <c r="L24" s="10" t="s">
        <v>195</v>
      </c>
      <c r="M24" s="10" t="s">
        <v>196</v>
      </c>
      <c r="N24" s="10" t="s">
        <v>197</v>
      </c>
      <c r="O24" s="10" t="s">
        <v>198</v>
      </c>
      <c r="P24" s="33">
        <f>1324/1000</f>
        <v>1.3240000000000001</v>
      </c>
      <c r="Q24" s="25">
        <f>3560/3000</f>
        <v>1.1866666666666668</v>
      </c>
    </row>
    <row r="25" spans="1:17" s="20" customFormat="1" ht="249.95" customHeight="1" x14ac:dyDescent="0.35">
      <c r="A25" s="10" t="s">
        <v>16</v>
      </c>
      <c r="B25" s="10" t="s">
        <v>3018</v>
      </c>
      <c r="C25" s="10" t="s">
        <v>29</v>
      </c>
      <c r="D25" s="10" t="s">
        <v>30</v>
      </c>
      <c r="E25" s="16" t="s">
        <v>199</v>
      </c>
      <c r="F25" s="16" t="s">
        <v>200</v>
      </c>
      <c r="G25" s="16" t="s">
        <v>201</v>
      </c>
      <c r="H25" s="16" t="s">
        <v>202</v>
      </c>
      <c r="I25" s="152" t="s">
        <v>3046</v>
      </c>
      <c r="J25" s="16" t="s">
        <v>203</v>
      </c>
      <c r="K25" s="16" t="s">
        <v>115</v>
      </c>
      <c r="L25" s="10" t="s">
        <v>204</v>
      </c>
      <c r="M25" s="46" t="s">
        <v>205</v>
      </c>
      <c r="N25" s="47">
        <v>0</v>
      </c>
      <c r="O25" s="46" t="s">
        <v>206</v>
      </c>
      <c r="P25" s="35">
        <f>0/3167</f>
        <v>0</v>
      </c>
      <c r="Q25" s="37">
        <f>4755/9500</f>
        <v>0.50052631578947371</v>
      </c>
    </row>
    <row r="26" spans="1:17" s="20" customFormat="1" ht="249.95" customHeight="1" x14ac:dyDescent="0.35">
      <c r="A26" s="10" t="s">
        <v>16</v>
      </c>
      <c r="B26" s="10" t="s">
        <v>3018</v>
      </c>
      <c r="C26" s="10" t="s">
        <v>29</v>
      </c>
      <c r="D26" s="10" t="s">
        <v>30</v>
      </c>
      <c r="E26" s="16" t="s">
        <v>207</v>
      </c>
      <c r="F26" s="16" t="s">
        <v>208</v>
      </c>
      <c r="G26" s="16" t="s">
        <v>209</v>
      </c>
      <c r="H26" s="16" t="s">
        <v>210</v>
      </c>
      <c r="I26" s="152" t="s">
        <v>3046</v>
      </c>
      <c r="J26" s="16" t="s">
        <v>211</v>
      </c>
      <c r="K26" s="16" t="s">
        <v>115</v>
      </c>
      <c r="L26" s="10" t="s">
        <v>212</v>
      </c>
      <c r="M26" s="10" t="s">
        <v>213</v>
      </c>
      <c r="N26" s="47" t="s">
        <v>214</v>
      </c>
      <c r="O26" s="10" t="s">
        <v>215</v>
      </c>
      <c r="P26" s="24">
        <f>2247/2512</f>
        <v>0.89450636942675155</v>
      </c>
      <c r="Q26" s="37">
        <f>4759/7536</f>
        <v>0.63150212314225052</v>
      </c>
    </row>
    <row r="27" spans="1:17" s="20" customFormat="1" ht="249.95" customHeight="1" x14ac:dyDescent="0.35">
      <c r="A27" s="10" t="s">
        <v>16</v>
      </c>
      <c r="B27" s="10" t="s">
        <v>3018</v>
      </c>
      <c r="C27" s="10" t="s">
        <v>29</v>
      </c>
      <c r="D27" s="10" t="s">
        <v>30</v>
      </c>
      <c r="E27" s="16" t="s">
        <v>216</v>
      </c>
      <c r="F27" s="16" t="s">
        <v>217</v>
      </c>
      <c r="G27" s="16" t="s">
        <v>218</v>
      </c>
      <c r="H27" s="16" t="s">
        <v>219</v>
      </c>
      <c r="I27" s="65" t="s">
        <v>3046</v>
      </c>
      <c r="J27" s="16" t="s">
        <v>220</v>
      </c>
      <c r="K27" s="16" t="s">
        <v>115</v>
      </c>
      <c r="L27" s="10" t="s">
        <v>216</v>
      </c>
      <c r="M27" s="10" t="s">
        <v>221</v>
      </c>
      <c r="N27" s="47" t="s">
        <v>222</v>
      </c>
      <c r="O27" s="10" t="s">
        <v>223</v>
      </c>
      <c r="P27" s="33">
        <f>101/57</f>
        <v>1.7719298245614035</v>
      </c>
      <c r="Q27" s="25">
        <f>267/171</f>
        <v>1.5614035087719298</v>
      </c>
    </row>
    <row r="28" spans="1:17" s="36" customFormat="1" ht="249.95" customHeight="1" x14ac:dyDescent="0.35">
      <c r="A28" s="10" t="s">
        <v>16</v>
      </c>
      <c r="B28" s="10" t="s">
        <v>3018</v>
      </c>
      <c r="C28" s="10" t="s">
        <v>17</v>
      </c>
      <c r="D28" s="16" t="s">
        <v>225</v>
      </c>
      <c r="E28" s="16" t="s">
        <v>226</v>
      </c>
      <c r="F28" s="16" t="s">
        <v>227</v>
      </c>
      <c r="G28" s="16" t="s">
        <v>228</v>
      </c>
      <c r="H28" s="16" t="s">
        <v>229</v>
      </c>
      <c r="I28" s="65" t="s">
        <v>3046</v>
      </c>
      <c r="J28" s="16" t="s">
        <v>230</v>
      </c>
      <c r="K28" s="16" t="s">
        <v>224</v>
      </c>
      <c r="L28" s="10" t="s">
        <v>231</v>
      </c>
      <c r="M28" s="10" t="s">
        <v>232</v>
      </c>
      <c r="N28" s="52" t="s">
        <v>2861</v>
      </c>
      <c r="O28" s="10" t="s">
        <v>2936</v>
      </c>
      <c r="P28" s="24">
        <f>3680/4100</f>
        <v>0.89756097560975612</v>
      </c>
      <c r="Q28" s="142">
        <f>10238/12300</f>
        <v>0.83235772357723581</v>
      </c>
    </row>
    <row r="29" spans="1:17" s="20" customFormat="1" ht="249.95" customHeight="1" x14ac:dyDescent="0.35">
      <c r="A29" s="10" t="s">
        <v>16</v>
      </c>
      <c r="B29" s="10" t="s">
        <v>3018</v>
      </c>
      <c r="C29" s="10" t="s">
        <v>29</v>
      </c>
      <c r="D29" s="16" t="s">
        <v>30</v>
      </c>
      <c r="E29" s="16" t="s">
        <v>233</v>
      </c>
      <c r="F29" s="16" t="s">
        <v>234</v>
      </c>
      <c r="G29" s="16" t="s">
        <v>235</v>
      </c>
      <c r="H29" s="16" t="s">
        <v>236</v>
      </c>
      <c r="I29" s="152" t="s">
        <v>3046</v>
      </c>
      <c r="J29" s="16" t="s">
        <v>237</v>
      </c>
      <c r="K29" s="16" t="s">
        <v>24</v>
      </c>
      <c r="L29" s="10" t="s">
        <v>238</v>
      </c>
      <c r="M29" s="10" t="s">
        <v>238</v>
      </c>
      <c r="N29" s="10" t="s">
        <v>239</v>
      </c>
      <c r="O29" s="10" t="s">
        <v>240</v>
      </c>
      <c r="P29" s="33">
        <f>200/150</f>
        <v>1.3333333333333333</v>
      </c>
      <c r="Q29" s="37">
        <f>200/450</f>
        <v>0.44444444444444442</v>
      </c>
    </row>
    <row r="30" spans="1:17" s="20" customFormat="1" ht="249.95" customHeight="1" x14ac:dyDescent="0.35">
      <c r="A30" s="10" t="s">
        <v>16</v>
      </c>
      <c r="B30" s="10" t="s">
        <v>3018</v>
      </c>
      <c r="C30" s="10" t="s">
        <v>17</v>
      </c>
      <c r="D30" s="16" t="s">
        <v>241</v>
      </c>
      <c r="E30" s="16" t="s">
        <v>242</v>
      </c>
      <c r="F30" s="16" t="s">
        <v>243</v>
      </c>
      <c r="G30" s="16" t="s">
        <v>244</v>
      </c>
      <c r="H30" s="16" t="s">
        <v>245</v>
      </c>
      <c r="I30" s="65" t="s">
        <v>3046</v>
      </c>
      <c r="J30" s="16" t="s">
        <v>246</v>
      </c>
      <c r="K30" s="16" t="s">
        <v>247</v>
      </c>
      <c r="L30" s="10" t="s">
        <v>248</v>
      </c>
      <c r="M30" s="10" t="s">
        <v>249</v>
      </c>
      <c r="N30" s="27" t="s">
        <v>250</v>
      </c>
      <c r="O30" s="10" t="s">
        <v>251</v>
      </c>
      <c r="P30" s="35">
        <f>161/1000</f>
        <v>0.161</v>
      </c>
      <c r="Q30" s="43">
        <f>731/3000</f>
        <v>0.24366666666666667</v>
      </c>
    </row>
    <row r="31" spans="1:17" s="36" customFormat="1" ht="249.95" customHeight="1" x14ac:dyDescent="0.35">
      <c r="A31" s="10" t="s">
        <v>16</v>
      </c>
      <c r="B31" s="10" t="s">
        <v>3018</v>
      </c>
      <c r="C31" s="10" t="s">
        <v>17</v>
      </c>
      <c r="D31" s="16" t="s">
        <v>252</v>
      </c>
      <c r="E31" s="16" t="s">
        <v>253</v>
      </c>
      <c r="F31" s="16" t="s">
        <v>254</v>
      </c>
      <c r="G31" s="16" t="s">
        <v>255</v>
      </c>
      <c r="H31" s="16" t="s">
        <v>256</v>
      </c>
      <c r="I31" s="65" t="s">
        <v>3046</v>
      </c>
      <c r="J31" s="16" t="s">
        <v>257</v>
      </c>
      <c r="K31" s="16" t="s">
        <v>247</v>
      </c>
      <c r="L31" s="10" t="s">
        <v>258</v>
      </c>
      <c r="M31" s="10" t="s">
        <v>259</v>
      </c>
      <c r="N31" s="27" t="s">
        <v>260</v>
      </c>
      <c r="O31" s="10" t="s">
        <v>261</v>
      </c>
      <c r="P31" s="33">
        <f>263/220</f>
        <v>1.1954545454545455</v>
      </c>
      <c r="Q31" s="25">
        <f>744/660</f>
        <v>1.1272727272727272</v>
      </c>
    </row>
    <row r="32" spans="1:17" s="20" customFormat="1" ht="249.95" customHeight="1" x14ac:dyDescent="0.35">
      <c r="A32" s="10" t="s">
        <v>16</v>
      </c>
      <c r="B32" s="10" t="s">
        <v>3018</v>
      </c>
      <c r="C32" s="10" t="s">
        <v>29</v>
      </c>
      <c r="D32" s="10" t="s">
        <v>30</v>
      </c>
      <c r="E32" s="16" t="s">
        <v>262</v>
      </c>
      <c r="F32" s="16" t="s">
        <v>263</v>
      </c>
      <c r="G32" s="16" t="s">
        <v>264</v>
      </c>
      <c r="H32" s="16" t="s">
        <v>265</v>
      </c>
      <c r="I32" s="152" t="s">
        <v>3046</v>
      </c>
      <c r="J32" s="16" t="s">
        <v>266</v>
      </c>
      <c r="K32" s="16" t="s">
        <v>24</v>
      </c>
      <c r="L32" s="10" t="s">
        <v>267</v>
      </c>
      <c r="M32" s="10" t="s">
        <v>267</v>
      </c>
      <c r="N32" s="10" t="s">
        <v>268</v>
      </c>
      <c r="O32" s="10" t="s">
        <v>268</v>
      </c>
      <c r="P32" s="33">
        <f>640/10</f>
        <v>64</v>
      </c>
      <c r="Q32" s="25">
        <f>640/30</f>
        <v>21.333333333333332</v>
      </c>
    </row>
    <row r="33" spans="1:17" s="36" customFormat="1" ht="249.95" customHeight="1" x14ac:dyDescent="0.35">
      <c r="A33" s="10" t="s">
        <v>16</v>
      </c>
      <c r="B33" s="10" t="s">
        <v>3018</v>
      </c>
      <c r="C33" s="10" t="s">
        <v>29</v>
      </c>
      <c r="D33" s="16" t="s">
        <v>30</v>
      </c>
      <c r="E33" s="16" t="s">
        <v>269</v>
      </c>
      <c r="F33" s="16" t="s">
        <v>270</v>
      </c>
      <c r="G33" s="16" t="s">
        <v>271</v>
      </c>
      <c r="H33" s="16" t="s">
        <v>272</v>
      </c>
      <c r="I33" s="152" t="s">
        <v>3046</v>
      </c>
      <c r="J33" s="16" t="s">
        <v>273</v>
      </c>
      <c r="K33" s="16" t="s">
        <v>115</v>
      </c>
      <c r="L33" s="10" t="s">
        <v>274</v>
      </c>
      <c r="M33" s="10" t="s">
        <v>275</v>
      </c>
      <c r="N33" s="47" t="s">
        <v>276</v>
      </c>
      <c r="O33" s="10" t="s">
        <v>277</v>
      </c>
      <c r="P33" s="35">
        <f>1531/4848</f>
        <v>0.31580033003300328</v>
      </c>
      <c r="Q33" s="25">
        <f>16076/14545</f>
        <v>1.1052595393606051</v>
      </c>
    </row>
    <row r="34" spans="1:17" s="36" customFormat="1" ht="249.95" customHeight="1" x14ac:dyDescent="0.35">
      <c r="A34" s="10" t="s">
        <v>16</v>
      </c>
      <c r="B34" s="10" t="s">
        <v>3018</v>
      </c>
      <c r="C34" s="10"/>
      <c r="D34" s="16" t="s">
        <v>30</v>
      </c>
      <c r="E34" s="16" t="s">
        <v>278</v>
      </c>
      <c r="F34" s="16" t="s">
        <v>279</v>
      </c>
      <c r="G34" s="16" t="s">
        <v>280</v>
      </c>
      <c r="H34" s="16"/>
      <c r="I34" s="65" t="s">
        <v>3046</v>
      </c>
      <c r="J34" s="16"/>
      <c r="K34" s="16"/>
      <c r="L34" s="10"/>
      <c r="M34" s="10">
        <v>0</v>
      </c>
      <c r="N34" s="29" t="s">
        <v>281</v>
      </c>
      <c r="O34" s="10" t="s">
        <v>282</v>
      </c>
      <c r="P34" s="33">
        <f>30/30</f>
        <v>1</v>
      </c>
      <c r="Q34" s="25">
        <f>264/90</f>
        <v>2.9333333333333331</v>
      </c>
    </row>
    <row r="35" spans="1:17" s="36" customFormat="1" ht="249.95" customHeight="1" x14ac:dyDescent="0.35">
      <c r="A35" s="10" t="s">
        <v>16</v>
      </c>
      <c r="B35" s="10" t="s">
        <v>3018</v>
      </c>
      <c r="C35" s="10" t="s">
        <v>29</v>
      </c>
      <c r="D35" s="16" t="s">
        <v>30</v>
      </c>
      <c r="E35" s="16" t="s">
        <v>283</v>
      </c>
      <c r="F35" s="16" t="s">
        <v>284</v>
      </c>
      <c r="G35" s="16" t="s">
        <v>285</v>
      </c>
      <c r="H35" s="16" t="s">
        <v>286</v>
      </c>
      <c r="I35" s="65" t="s">
        <v>3046</v>
      </c>
      <c r="J35" s="16" t="s">
        <v>287</v>
      </c>
      <c r="K35" s="16" t="s">
        <v>115</v>
      </c>
      <c r="L35" s="10" t="s">
        <v>288</v>
      </c>
      <c r="M35" s="10" t="s">
        <v>289</v>
      </c>
      <c r="N35" s="47">
        <v>0</v>
      </c>
      <c r="O35" s="10" t="s">
        <v>288</v>
      </c>
      <c r="P35" s="35">
        <v>0</v>
      </c>
      <c r="Q35" s="53">
        <f>229/450</f>
        <v>0.50888888888888884</v>
      </c>
    </row>
    <row r="36" spans="1:17" s="20" customFormat="1" ht="249.95" customHeight="1" x14ac:dyDescent="0.35">
      <c r="A36" s="10" t="s">
        <v>16</v>
      </c>
      <c r="B36" s="10" t="s">
        <v>3018</v>
      </c>
      <c r="C36" s="10" t="s">
        <v>17</v>
      </c>
      <c r="D36" s="16" t="s">
        <v>290</v>
      </c>
      <c r="E36" s="16" t="s">
        <v>291</v>
      </c>
      <c r="F36" s="16" t="s">
        <v>292</v>
      </c>
      <c r="G36" s="16" t="s">
        <v>293</v>
      </c>
      <c r="H36" s="16" t="s">
        <v>294</v>
      </c>
      <c r="I36" s="152" t="s">
        <v>3046</v>
      </c>
      <c r="J36" s="16" t="s">
        <v>295</v>
      </c>
      <c r="K36" s="16" t="s">
        <v>24</v>
      </c>
      <c r="L36" s="10" t="s">
        <v>296</v>
      </c>
      <c r="M36" s="10" t="s">
        <v>297</v>
      </c>
      <c r="N36" s="10" t="s">
        <v>2862</v>
      </c>
      <c r="O36" s="10" t="s">
        <v>2937</v>
      </c>
      <c r="P36" s="24">
        <f>26/30</f>
        <v>0.8666666666666667</v>
      </c>
      <c r="Q36" s="37">
        <f>28/90</f>
        <v>0.31111111111111112</v>
      </c>
    </row>
    <row r="37" spans="1:17" s="56" customFormat="1" ht="249.95" customHeight="1" x14ac:dyDescent="0.35">
      <c r="A37" s="10" t="s">
        <v>16</v>
      </c>
      <c r="B37" s="10" t="s">
        <v>3018</v>
      </c>
      <c r="C37" s="10" t="s">
        <v>29</v>
      </c>
      <c r="D37" s="10" t="s">
        <v>30</v>
      </c>
      <c r="E37" s="10" t="s">
        <v>298</v>
      </c>
      <c r="F37" s="10" t="s">
        <v>299</v>
      </c>
      <c r="G37" s="10" t="s">
        <v>300</v>
      </c>
      <c r="H37" s="10" t="s">
        <v>301</v>
      </c>
      <c r="I37" s="152" t="s">
        <v>3046</v>
      </c>
      <c r="J37" s="10" t="s">
        <v>302</v>
      </c>
      <c r="K37" s="10" t="s">
        <v>40</v>
      </c>
      <c r="L37" s="10" t="s">
        <v>303</v>
      </c>
      <c r="M37" s="10" t="s">
        <v>304</v>
      </c>
      <c r="N37" s="27" t="s">
        <v>2863</v>
      </c>
      <c r="O37" s="10" t="s">
        <v>2938</v>
      </c>
      <c r="P37" s="24">
        <f>38/40</f>
        <v>0.95</v>
      </c>
      <c r="Q37" s="54">
        <f>164/135</f>
        <v>1.2148148148148148</v>
      </c>
    </row>
    <row r="38" spans="1:17" s="20" customFormat="1" ht="249.95" customHeight="1" x14ac:dyDescent="0.35">
      <c r="A38" s="10" t="s">
        <v>16</v>
      </c>
      <c r="B38" s="10" t="s">
        <v>3018</v>
      </c>
      <c r="C38" s="10" t="s">
        <v>29</v>
      </c>
      <c r="D38" s="10" t="s">
        <v>305</v>
      </c>
      <c r="E38" s="10" t="s">
        <v>306</v>
      </c>
      <c r="F38" s="10" t="s">
        <v>307</v>
      </c>
      <c r="G38" s="10" t="s">
        <v>308</v>
      </c>
      <c r="H38" s="10" t="s">
        <v>309</v>
      </c>
      <c r="I38" s="152" t="s">
        <v>3046</v>
      </c>
      <c r="J38" s="10" t="s">
        <v>310</v>
      </c>
      <c r="K38" s="10" t="s">
        <v>45</v>
      </c>
      <c r="L38" s="10" t="s">
        <v>311</v>
      </c>
      <c r="M38" s="10" t="s">
        <v>312</v>
      </c>
      <c r="N38" s="57" t="s">
        <v>2864</v>
      </c>
      <c r="O38" s="10" t="s">
        <v>2864</v>
      </c>
      <c r="P38" s="33">
        <f>844/400</f>
        <v>2.11</v>
      </c>
      <c r="Q38" s="25">
        <f>844/900</f>
        <v>0.93777777777777782</v>
      </c>
    </row>
    <row r="39" spans="1:17" s="20" customFormat="1" ht="249.95" customHeight="1" x14ac:dyDescent="0.35">
      <c r="A39" s="10" t="s">
        <v>16</v>
      </c>
      <c r="B39" s="10"/>
      <c r="C39" s="10"/>
      <c r="D39" s="10" t="s">
        <v>30</v>
      </c>
      <c r="E39" s="10" t="s">
        <v>30</v>
      </c>
      <c r="F39" s="58">
        <v>2983000</v>
      </c>
      <c r="G39" s="10" t="s">
        <v>313</v>
      </c>
      <c r="H39" s="10"/>
      <c r="I39" s="65" t="s">
        <v>3048</v>
      </c>
      <c r="J39" s="10"/>
      <c r="K39" s="10"/>
      <c r="L39" s="10"/>
      <c r="M39" s="10"/>
      <c r="N39" s="59">
        <v>3588338.28</v>
      </c>
      <c r="O39" s="59">
        <v>3588338.28</v>
      </c>
      <c r="P39" s="38" t="s">
        <v>314</v>
      </c>
      <c r="Q39" s="25">
        <f>3588338.28/2983000</f>
        <v>1.2029293597049948</v>
      </c>
    </row>
    <row r="40" spans="1:17" s="20" customFormat="1" ht="249.95" customHeight="1" x14ac:dyDescent="0.35">
      <c r="A40" s="10" t="s">
        <v>16</v>
      </c>
      <c r="B40" s="10" t="s">
        <v>3018</v>
      </c>
      <c r="C40" s="10" t="s">
        <v>17</v>
      </c>
      <c r="D40" s="10" t="s">
        <v>316</v>
      </c>
      <c r="E40" s="10" t="s">
        <v>317</v>
      </c>
      <c r="F40" s="10" t="s">
        <v>318</v>
      </c>
      <c r="G40" s="10" t="s">
        <v>319</v>
      </c>
      <c r="H40" s="10" t="s">
        <v>320</v>
      </c>
      <c r="I40" s="152" t="s">
        <v>3046</v>
      </c>
      <c r="J40" s="10" t="s">
        <v>321</v>
      </c>
      <c r="K40" s="10" t="s">
        <v>322</v>
      </c>
      <c r="L40" s="10" t="s">
        <v>323</v>
      </c>
      <c r="M40" s="10" t="s">
        <v>324</v>
      </c>
      <c r="N40" s="27" t="s">
        <v>325</v>
      </c>
      <c r="O40" s="10" t="s">
        <v>326</v>
      </c>
      <c r="P40" s="33">
        <f>162/18</f>
        <v>9</v>
      </c>
      <c r="Q40" s="25">
        <f>272/54</f>
        <v>5.0370370370370372</v>
      </c>
    </row>
    <row r="41" spans="1:17" s="20" customFormat="1" ht="249.95" customHeight="1" x14ac:dyDescent="0.35">
      <c r="A41" s="10" t="s">
        <v>16</v>
      </c>
      <c r="B41" s="10" t="s">
        <v>3018</v>
      </c>
      <c r="C41" s="10" t="s">
        <v>29</v>
      </c>
      <c r="D41" s="10" t="s">
        <v>30</v>
      </c>
      <c r="E41" s="10" t="s">
        <v>327</v>
      </c>
      <c r="F41" s="10" t="s">
        <v>328</v>
      </c>
      <c r="G41" s="10" t="s">
        <v>329</v>
      </c>
      <c r="H41" s="10" t="s">
        <v>330</v>
      </c>
      <c r="I41" s="65" t="s">
        <v>3046</v>
      </c>
      <c r="J41" s="10" t="s">
        <v>331</v>
      </c>
      <c r="K41" s="10" t="s">
        <v>24</v>
      </c>
      <c r="L41" s="10" t="s">
        <v>332</v>
      </c>
      <c r="M41" s="10" t="s">
        <v>333</v>
      </c>
      <c r="N41" s="27" t="s">
        <v>333</v>
      </c>
      <c r="O41" s="10" t="s">
        <v>334</v>
      </c>
      <c r="P41" s="33">
        <f>76/20</f>
        <v>3.8</v>
      </c>
      <c r="Q41" s="25">
        <f>95/40</f>
        <v>2.375</v>
      </c>
    </row>
    <row r="42" spans="1:17" s="20" customFormat="1" ht="249.95" customHeight="1" x14ac:dyDescent="0.35">
      <c r="A42" s="10" t="s">
        <v>16</v>
      </c>
      <c r="B42" s="10" t="s">
        <v>3018</v>
      </c>
      <c r="C42" s="10" t="s">
        <v>29</v>
      </c>
      <c r="D42" s="16" t="s">
        <v>30</v>
      </c>
      <c r="E42" s="16" t="s">
        <v>335</v>
      </c>
      <c r="F42" s="16" t="s">
        <v>336</v>
      </c>
      <c r="G42" s="16" t="s">
        <v>337</v>
      </c>
      <c r="H42" s="16" t="s">
        <v>338</v>
      </c>
      <c r="I42" s="152" t="s">
        <v>3046</v>
      </c>
      <c r="J42" s="16" t="s">
        <v>339</v>
      </c>
      <c r="K42" s="16" t="s">
        <v>24</v>
      </c>
      <c r="L42" s="10" t="s">
        <v>340</v>
      </c>
      <c r="M42" s="10" t="s">
        <v>341</v>
      </c>
      <c r="N42" s="27" t="s">
        <v>342</v>
      </c>
      <c r="O42" s="10" t="s">
        <v>343</v>
      </c>
      <c r="P42" s="33">
        <f>4/4</f>
        <v>1</v>
      </c>
      <c r="Q42" s="37">
        <f>7/12</f>
        <v>0.58333333333333337</v>
      </c>
    </row>
    <row r="43" spans="1:17" s="20" customFormat="1" ht="249.95" customHeight="1" x14ac:dyDescent="0.35">
      <c r="A43" s="10" t="s">
        <v>16</v>
      </c>
      <c r="B43" s="10" t="s">
        <v>3018</v>
      </c>
      <c r="C43" s="10" t="s">
        <v>29</v>
      </c>
      <c r="D43" s="10" t="s">
        <v>30</v>
      </c>
      <c r="E43" s="10" t="s">
        <v>344</v>
      </c>
      <c r="F43" s="10" t="s">
        <v>345</v>
      </c>
      <c r="G43" s="10" t="s">
        <v>346</v>
      </c>
      <c r="H43" s="10" t="s">
        <v>347</v>
      </c>
      <c r="I43" s="152" t="s">
        <v>3046</v>
      </c>
      <c r="J43" s="10" t="s">
        <v>348</v>
      </c>
      <c r="K43" s="10" t="s">
        <v>45</v>
      </c>
      <c r="L43" s="10" t="s">
        <v>350</v>
      </c>
      <c r="M43" s="10" t="s">
        <v>351</v>
      </c>
      <c r="N43" s="27" t="s">
        <v>2865</v>
      </c>
      <c r="O43" s="10" t="s">
        <v>2939</v>
      </c>
      <c r="P43" s="33">
        <f>9/2</f>
        <v>4.5</v>
      </c>
      <c r="Q43" s="25">
        <f>14/6</f>
        <v>2.3333333333333335</v>
      </c>
    </row>
    <row r="44" spans="1:17" s="36" customFormat="1" ht="249.95" customHeight="1" x14ac:dyDescent="0.35">
      <c r="A44" s="10" t="s">
        <v>16</v>
      </c>
      <c r="B44" s="10" t="s">
        <v>3018</v>
      </c>
      <c r="C44" s="10" t="s">
        <v>29</v>
      </c>
      <c r="D44" s="10" t="s">
        <v>30</v>
      </c>
      <c r="E44" s="10" t="s">
        <v>352</v>
      </c>
      <c r="F44" s="10" t="s">
        <v>353</v>
      </c>
      <c r="G44" s="10" t="s">
        <v>354</v>
      </c>
      <c r="H44" s="10" t="s">
        <v>355</v>
      </c>
      <c r="I44" s="152" t="s">
        <v>3046</v>
      </c>
      <c r="J44" s="10" t="s">
        <v>356</v>
      </c>
      <c r="K44" s="10" t="s">
        <v>45</v>
      </c>
      <c r="L44" s="10" t="s">
        <v>357</v>
      </c>
      <c r="M44" s="10" t="s">
        <v>358</v>
      </c>
      <c r="N44" s="39">
        <v>0</v>
      </c>
      <c r="O44" s="10" t="s">
        <v>360</v>
      </c>
      <c r="P44" s="60">
        <v>0</v>
      </c>
      <c r="Q44" s="25">
        <f>428/15</f>
        <v>28.533333333333335</v>
      </c>
    </row>
    <row r="45" spans="1:17" s="36" customFormat="1" ht="249.95" customHeight="1" x14ac:dyDescent="0.35">
      <c r="A45" s="10" t="s">
        <v>16</v>
      </c>
      <c r="B45" s="10" t="s">
        <v>3018</v>
      </c>
      <c r="C45" s="10"/>
      <c r="D45" s="10" t="s">
        <v>30</v>
      </c>
      <c r="E45" s="46" t="s">
        <v>361</v>
      </c>
      <c r="F45" s="10" t="s">
        <v>362</v>
      </c>
      <c r="G45" s="10" t="s">
        <v>363</v>
      </c>
      <c r="H45" s="10"/>
      <c r="I45" s="65" t="s">
        <v>3046</v>
      </c>
      <c r="J45" s="10"/>
      <c r="K45" s="10"/>
      <c r="L45" s="10">
        <v>0</v>
      </c>
      <c r="M45" s="10"/>
      <c r="N45" s="27" t="s">
        <v>364</v>
      </c>
      <c r="O45" s="10" t="s">
        <v>365</v>
      </c>
      <c r="P45" s="33">
        <f>2323/2000</f>
        <v>1.1615</v>
      </c>
      <c r="Q45" s="25">
        <f>5123/5000</f>
        <v>1.0246</v>
      </c>
    </row>
    <row r="46" spans="1:17" s="56" customFormat="1" ht="249.95" customHeight="1" x14ac:dyDescent="0.35">
      <c r="A46" s="10" t="s">
        <v>16</v>
      </c>
      <c r="B46" s="10" t="s">
        <v>3018</v>
      </c>
      <c r="C46" s="10" t="s">
        <v>17</v>
      </c>
      <c r="D46" s="10" t="s">
        <v>366</v>
      </c>
      <c r="E46" s="10" t="s">
        <v>367</v>
      </c>
      <c r="F46" s="10" t="s">
        <v>368</v>
      </c>
      <c r="G46" s="10" t="s">
        <v>369</v>
      </c>
      <c r="H46" s="10" t="s">
        <v>370</v>
      </c>
      <c r="I46" s="152" t="s">
        <v>3046</v>
      </c>
      <c r="J46" s="10" t="s">
        <v>371</v>
      </c>
      <c r="K46" s="10" t="s">
        <v>45</v>
      </c>
      <c r="L46" s="10" t="s">
        <v>372</v>
      </c>
      <c r="M46" s="10" t="s">
        <v>374</v>
      </c>
      <c r="N46" s="27" t="s">
        <v>2866</v>
      </c>
      <c r="O46" s="10" t="s">
        <v>2940</v>
      </c>
      <c r="P46" s="33">
        <f>169/100</f>
        <v>1.69</v>
      </c>
      <c r="Q46" s="54">
        <f>368/300</f>
        <v>1.2266666666666666</v>
      </c>
    </row>
    <row r="47" spans="1:17" s="20" customFormat="1" ht="249.95" customHeight="1" x14ac:dyDescent="0.35">
      <c r="A47" s="10" t="s">
        <v>16</v>
      </c>
      <c r="B47" s="10" t="s">
        <v>3018</v>
      </c>
      <c r="C47" s="10" t="s">
        <v>29</v>
      </c>
      <c r="D47" s="10" t="s">
        <v>30</v>
      </c>
      <c r="E47" s="10" t="s">
        <v>375</v>
      </c>
      <c r="F47" s="10" t="s">
        <v>376</v>
      </c>
      <c r="G47" s="10" t="s">
        <v>377</v>
      </c>
      <c r="H47" s="10" t="s">
        <v>378</v>
      </c>
      <c r="I47" s="152" t="s">
        <v>3046</v>
      </c>
      <c r="J47" s="10" t="s">
        <v>379</v>
      </c>
      <c r="K47" s="10" t="s">
        <v>45</v>
      </c>
      <c r="L47" s="10" t="s">
        <v>380</v>
      </c>
      <c r="M47" s="10" t="s">
        <v>381</v>
      </c>
      <c r="N47" s="118"/>
      <c r="O47" s="10" t="s">
        <v>383</v>
      </c>
      <c r="P47" s="125" t="s">
        <v>169</v>
      </c>
      <c r="Q47" s="125" t="s">
        <v>169</v>
      </c>
    </row>
    <row r="48" spans="1:17" s="20" customFormat="1" ht="249.95" customHeight="1" x14ac:dyDescent="0.35">
      <c r="A48" s="10" t="s">
        <v>16</v>
      </c>
      <c r="B48" s="10" t="s">
        <v>3018</v>
      </c>
      <c r="C48" s="10" t="s">
        <v>29</v>
      </c>
      <c r="D48" s="10" t="s">
        <v>30</v>
      </c>
      <c r="E48" s="16" t="s">
        <v>384</v>
      </c>
      <c r="F48" s="16" t="s">
        <v>385</v>
      </c>
      <c r="G48" s="16" t="s">
        <v>386</v>
      </c>
      <c r="H48" s="16" t="s">
        <v>387</v>
      </c>
      <c r="I48" s="65" t="s">
        <v>3046</v>
      </c>
      <c r="J48" s="16" t="s">
        <v>388</v>
      </c>
      <c r="K48" s="16" t="s">
        <v>40</v>
      </c>
      <c r="L48" s="10"/>
      <c r="M48" s="10" t="s">
        <v>389</v>
      </c>
      <c r="N48" s="10">
        <v>1425</v>
      </c>
      <c r="O48" s="10" t="s">
        <v>2941</v>
      </c>
      <c r="P48" s="33">
        <f>1425/1200</f>
        <v>1.1875</v>
      </c>
      <c r="Q48" s="54">
        <f>2425/2000</f>
        <v>1.2124999999999999</v>
      </c>
    </row>
    <row r="49" spans="1:17" s="20" customFormat="1" ht="249.95" customHeight="1" x14ac:dyDescent="0.35">
      <c r="A49" s="10" t="s">
        <v>16</v>
      </c>
      <c r="B49" s="10" t="s">
        <v>3018</v>
      </c>
      <c r="C49" s="10" t="s">
        <v>17</v>
      </c>
      <c r="D49" s="16" t="s">
        <v>391</v>
      </c>
      <c r="E49" s="16" t="s">
        <v>392</v>
      </c>
      <c r="F49" s="16" t="s">
        <v>393</v>
      </c>
      <c r="G49" s="16" t="s">
        <v>394</v>
      </c>
      <c r="H49" s="16" t="s">
        <v>395</v>
      </c>
      <c r="I49" s="152" t="s">
        <v>3046</v>
      </c>
      <c r="J49" s="16" t="s">
        <v>396</v>
      </c>
      <c r="K49" s="16" t="s">
        <v>390</v>
      </c>
      <c r="L49" s="10" t="s">
        <v>397</v>
      </c>
      <c r="M49" s="10" t="s">
        <v>398</v>
      </c>
      <c r="N49" s="27" t="s">
        <v>2867</v>
      </c>
      <c r="O49" s="10" t="s">
        <v>2942</v>
      </c>
      <c r="P49" s="33">
        <f>315/224</f>
        <v>1.40625</v>
      </c>
      <c r="Q49" s="54">
        <f>823/704</f>
        <v>1.1690340909090908</v>
      </c>
    </row>
    <row r="50" spans="1:17" s="20" customFormat="1" ht="249.95" customHeight="1" x14ac:dyDescent="0.35">
      <c r="A50" s="10" t="s">
        <v>16</v>
      </c>
      <c r="B50" s="10" t="s">
        <v>3018</v>
      </c>
      <c r="C50" s="10" t="s">
        <v>29</v>
      </c>
      <c r="D50" s="10" t="s">
        <v>30</v>
      </c>
      <c r="E50" s="10" t="s">
        <v>399</v>
      </c>
      <c r="F50" s="10" t="s">
        <v>399</v>
      </c>
      <c r="G50" s="10" t="s">
        <v>400</v>
      </c>
      <c r="H50" s="10" t="s">
        <v>401</v>
      </c>
      <c r="I50" s="152" t="s">
        <v>3046</v>
      </c>
      <c r="J50" s="10" t="s">
        <v>402</v>
      </c>
      <c r="K50" s="10" t="s">
        <v>45</v>
      </c>
      <c r="L50" s="10" t="s">
        <v>399</v>
      </c>
      <c r="M50" s="10" t="s">
        <v>403</v>
      </c>
      <c r="N50" s="118"/>
      <c r="O50" s="10" t="s">
        <v>404</v>
      </c>
      <c r="P50" s="123"/>
      <c r="Q50" s="124"/>
    </row>
    <row r="51" spans="1:17" s="20" customFormat="1" ht="249.95" customHeight="1" x14ac:dyDescent="0.35">
      <c r="A51" s="10" t="s">
        <v>16</v>
      </c>
      <c r="B51" s="10" t="s">
        <v>3018</v>
      </c>
      <c r="C51" s="10"/>
      <c r="D51" s="10" t="s">
        <v>30</v>
      </c>
      <c r="E51" s="10" t="s">
        <v>405</v>
      </c>
      <c r="F51" s="10" t="s">
        <v>406</v>
      </c>
      <c r="G51" s="10" t="s">
        <v>407</v>
      </c>
      <c r="H51" s="10"/>
      <c r="I51" s="65" t="s">
        <v>3046</v>
      </c>
      <c r="J51" s="10"/>
      <c r="K51" s="10"/>
      <c r="L51" s="10"/>
      <c r="M51" s="10" t="s">
        <v>408</v>
      </c>
      <c r="N51" s="10" t="s">
        <v>2868</v>
      </c>
      <c r="O51" s="10" t="s">
        <v>2943</v>
      </c>
      <c r="P51" s="33">
        <f>473/300</f>
        <v>1.5766666666666667</v>
      </c>
      <c r="Q51" s="25">
        <f>828/800</f>
        <v>1.0349999999999999</v>
      </c>
    </row>
    <row r="52" spans="1:17" s="20" customFormat="1" ht="249.95" customHeight="1" x14ac:dyDescent="0.35">
      <c r="A52" s="10" t="s">
        <v>16</v>
      </c>
      <c r="B52" s="10" t="s">
        <v>3018</v>
      </c>
      <c r="C52" s="10" t="s">
        <v>29</v>
      </c>
      <c r="D52" s="10" t="s">
        <v>30</v>
      </c>
      <c r="E52" s="10" t="s">
        <v>409</v>
      </c>
      <c r="F52" s="10" t="s">
        <v>170</v>
      </c>
      <c r="G52" s="10" t="s">
        <v>410</v>
      </c>
      <c r="H52" s="10" t="s">
        <v>411</v>
      </c>
      <c r="I52" s="152" t="s">
        <v>3046</v>
      </c>
      <c r="J52" s="10" t="s">
        <v>412</v>
      </c>
      <c r="K52" s="10" t="s">
        <v>45</v>
      </c>
      <c r="L52" s="10" t="s">
        <v>413</v>
      </c>
      <c r="M52" s="10" t="s">
        <v>415</v>
      </c>
      <c r="N52" s="29" t="s">
        <v>416</v>
      </c>
      <c r="O52" s="10" t="s">
        <v>417</v>
      </c>
      <c r="P52" s="33">
        <f>1/1</f>
        <v>1</v>
      </c>
      <c r="Q52" s="37">
        <f>2/3</f>
        <v>0.66666666666666663</v>
      </c>
    </row>
    <row r="53" spans="1:17" s="20" customFormat="1" ht="249.95" customHeight="1" x14ac:dyDescent="0.35">
      <c r="A53" s="10" t="s">
        <v>16</v>
      </c>
      <c r="B53" s="10" t="s">
        <v>3019</v>
      </c>
      <c r="C53" s="10" t="s">
        <v>17</v>
      </c>
      <c r="D53" s="17" t="s">
        <v>414</v>
      </c>
      <c r="E53" s="17" t="s">
        <v>418</v>
      </c>
      <c r="F53" s="17" t="s">
        <v>162</v>
      </c>
      <c r="G53" s="10" t="s">
        <v>419</v>
      </c>
      <c r="H53" s="16" t="s">
        <v>420</v>
      </c>
      <c r="I53" s="152" t="s">
        <v>3046</v>
      </c>
      <c r="J53" s="17" t="s">
        <v>421</v>
      </c>
      <c r="K53" s="16" t="s">
        <v>24</v>
      </c>
      <c r="L53" s="10" t="s">
        <v>422</v>
      </c>
      <c r="M53" s="10" t="s">
        <v>423</v>
      </c>
      <c r="N53" s="10"/>
      <c r="O53" s="10" t="s">
        <v>424</v>
      </c>
      <c r="P53" s="136"/>
      <c r="Q53" s="137"/>
    </row>
    <row r="54" spans="1:17" s="20" customFormat="1" ht="249.95" customHeight="1" x14ac:dyDescent="0.35">
      <c r="A54" s="10" t="s">
        <v>16</v>
      </c>
      <c r="B54" s="10" t="s">
        <v>3019</v>
      </c>
      <c r="C54" s="10" t="s">
        <v>17</v>
      </c>
      <c r="D54" s="17" t="s">
        <v>425</v>
      </c>
      <c r="E54" s="17" t="s">
        <v>426</v>
      </c>
      <c r="F54" s="17" t="s">
        <v>427</v>
      </c>
      <c r="G54" s="16" t="s">
        <v>428</v>
      </c>
      <c r="H54" s="16" t="s">
        <v>429</v>
      </c>
      <c r="I54" s="152" t="s">
        <v>3046</v>
      </c>
      <c r="J54" s="16" t="s">
        <v>430</v>
      </c>
      <c r="K54" s="16" t="s">
        <v>24</v>
      </c>
      <c r="L54" s="10" t="s">
        <v>431</v>
      </c>
      <c r="M54" s="10" t="s">
        <v>434</v>
      </c>
      <c r="N54" s="27" t="s">
        <v>433</v>
      </c>
      <c r="O54" s="10" t="s">
        <v>435</v>
      </c>
      <c r="P54" s="35">
        <f>0/100</f>
        <v>0</v>
      </c>
      <c r="Q54" s="37">
        <f>156/300</f>
        <v>0.52</v>
      </c>
    </row>
    <row r="55" spans="1:17" s="20" customFormat="1" ht="249.95" customHeight="1" x14ac:dyDescent="0.35">
      <c r="A55" s="10" t="s">
        <v>16</v>
      </c>
      <c r="B55" s="10" t="s">
        <v>3019</v>
      </c>
      <c r="C55" s="10" t="s">
        <v>29</v>
      </c>
      <c r="D55" s="17" t="s">
        <v>30</v>
      </c>
      <c r="E55" s="17" t="s">
        <v>436</v>
      </c>
      <c r="F55" s="17" t="s">
        <v>437</v>
      </c>
      <c r="G55" s="16" t="s">
        <v>438</v>
      </c>
      <c r="H55" s="16" t="s">
        <v>439</v>
      </c>
      <c r="I55" s="65" t="s">
        <v>3046</v>
      </c>
      <c r="J55" s="16" t="s">
        <v>430</v>
      </c>
      <c r="K55" s="16" t="s">
        <v>24</v>
      </c>
      <c r="L55" s="10" t="s">
        <v>440</v>
      </c>
      <c r="M55" s="10" t="s">
        <v>441</v>
      </c>
      <c r="N55" s="27" t="s">
        <v>432</v>
      </c>
      <c r="O55" s="10" t="s">
        <v>442</v>
      </c>
      <c r="P55" s="35">
        <f>0/100</f>
        <v>0</v>
      </c>
      <c r="Q55" s="25">
        <f>324/200</f>
        <v>1.62</v>
      </c>
    </row>
    <row r="56" spans="1:17" s="20" customFormat="1" ht="249.95" customHeight="1" x14ac:dyDescent="0.35">
      <c r="A56" s="10" t="s">
        <v>16</v>
      </c>
      <c r="B56" s="10" t="s">
        <v>3019</v>
      </c>
      <c r="C56" s="10"/>
      <c r="D56" s="17" t="s">
        <v>443</v>
      </c>
      <c r="E56" s="17" t="s">
        <v>444</v>
      </c>
      <c r="F56" s="17" t="s">
        <v>445</v>
      </c>
      <c r="G56" s="16" t="s">
        <v>446</v>
      </c>
      <c r="H56" s="16"/>
      <c r="I56" s="65" t="s">
        <v>3046</v>
      </c>
      <c r="J56" s="16"/>
      <c r="K56" s="16"/>
      <c r="L56" s="10">
        <v>0</v>
      </c>
      <c r="M56" s="10" t="s">
        <v>447</v>
      </c>
      <c r="N56" s="27" t="s">
        <v>448</v>
      </c>
      <c r="O56" s="10" t="s">
        <v>449</v>
      </c>
      <c r="P56" s="35">
        <f>8/60</f>
        <v>0.13333333333333333</v>
      </c>
      <c r="Q56" s="37">
        <f>73/180</f>
        <v>0.40555555555555556</v>
      </c>
    </row>
    <row r="57" spans="1:17" s="20" customFormat="1" ht="249.95" customHeight="1" x14ac:dyDescent="0.35">
      <c r="A57" s="10" t="s">
        <v>16</v>
      </c>
      <c r="B57" s="10" t="s">
        <v>3019</v>
      </c>
      <c r="C57" s="10" t="s">
        <v>29</v>
      </c>
      <c r="D57" s="10" t="s">
        <v>30</v>
      </c>
      <c r="E57" s="16" t="s">
        <v>450</v>
      </c>
      <c r="F57" s="16" t="s">
        <v>451</v>
      </c>
      <c r="G57" s="16" t="s">
        <v>452</v>
      </c>
      <c r="H57" s="16" t="s">
        <v>453</v>
      </c>
      <c r="I57" s="152" t="s">
        <v>3046</v>
      </c>
      <c r="J57" s="16" t="s">
        <v>454</v>
      </c>
      <c r="K57" s="16" t="s">
        <v>115</v>
      </c>
      <c r="L57" s="10" t="s">
        <v>455</v>
      </c>
      <c r="M57" s="10" t="s">
        <v>456</v>
      </c>
      <c r="N57" s="29">
        <v>0</v>
      </c>
      <c r="O57" s="10" t="s">
        <v>457</v>
      </c>
      <c r="P57" s="35">
        <v>0</v>
      </c>
      <c r="Q57" s="25">
        <f>27/25</f>
        <v>1.08</v>
      </c>
    </row>
    <row r="58" spans="1:17" s="20" customFormat="1" ht="249.95" customHeight="1" x14ac:dyDescent="0.35">
      <c r="A58" s="10" t="s">
        <v>16</v>
      </c>
      <c r="B58" s="10" t="s">
        <v>3019</v>
      </c>
      <c r="C58" s="10"/>
      <c r="D58" s="10" t="s">
        <v>458</v>
      </c>
      <c r="E58" s="16" t="s">
        <v>459</v>
      </c>
      <c r="F58" s="16" t="s">
        <v>460</v>
      </c>
      <c r="G58" s="16" t="s">
        <v>461</v>
      </c>
      <c r="H58" s="16"/>
      <c r="I58" s="65" t="s">
        <v>3046</v>
      </c>
      <c r="J58" s="16"/>
      <c r="K58" s="16"/>
      <c r="L58" s="10">
        <v>0</v>
      </c>
      <c r="M58" s="10"/>
      <c r="N58" s="29" t="s">
        <v>462</v>
      </c>
      <c r="O58" s="10" t="s">
        <v>463</v>
      </c>
      <c r="P58" s="35">
        <f>1/12</f>
        <v>8.3333333333333329E-2</v>
      </c>
      <c r="Q58" s="37">
        <f>20/36</f>
        <v>0.55555555555555558</v>
      </c>
    </row>
    <row r="59" spans="1:17" s="20" customFormat="1" ht="249.95" customHeight="1" x14ac:dyDescent="0.35">
      <c r="A59" s="10" t="s">
        <v>16</v>
      </c>
      <c r="B59" s="10" t="s">
        <v>3019</v>
      </c>
      <c r="C59" s="10" t="s">
        <v>17</v>
      </c>
      <c r="D59" s="17" t="s">
        <v>464</v>
      </c>
      <c r="E59" s="17" t="s">
        <v>465</v>
      </c>
      <c r="F59" s="17" t="s">
        <v>466</v>
      </c>
      <c r="G59" s="16" t="s">
        <v>467</v>
      </c>
      <c r="H59" s="16" t="s">
        <v>468</v>
      </c>
      <c r="I59" s="152" t="s">
        <v>3046</v>
      </c>
      <c r="J59" s="17" t="s">
        <v>469</v>
      </c>
      <c r="K59" s="16" t="s">
        <v>24</v>
      </c>
      <c r="L59" s="10" t="s">
        <v>470</v>
      </c>
      <c r="M59" s="10" t="s">
        <v>471</v>
      </c>
      <c r="N59" s="10" t="s">
        <v>2869</v>
      </c>
      <c r="O59" s="10" t="s">
        <v>2944</v>
      </c>
      <c r="P59" s="33">
        <f>11/8</f>
        <v>1.375</v>
      </c>
      <c r="Q59" s="25">
        <f>21/24</f>
        <v>0.875</v>
      </c>
    </row>
    <row r="60" spans="1:17" s="20" customFormat="1" ht="249.95" customHeight="1" x14ac:dyDescent="0.35">
      <c r="A60" s="10" t="s">
        <v>16</v>
      </c>
      <c r="B60" s="10" t="s">
        <v>3019</v>
      </c>
      <c r="C60" s="10" t="s">
        <v>17</v>
      </c>
      <c r="D60" s="17" t="s">
        <v>472</v>
      </c>
      <c r="E60" s="17" t="s">
        <v>473</v>
      </c>
      <c r="F60" s="17" t="s">
        <v>474</v>
      </c>
      <c r="G60" s="16" t="s">
        <v>475</v>
      </c>
      <c r="H60" s="16" t="s">
        <v>476</v>
      </c>
      <c r="I60" s="152" t="s">
        <v>3046</v>
      </c>
      <c r="J60" s="17" t="s">
        <v>477</v>
      </c>
      <c r="K60" s="16" t="s">
        <v>24</v>
      </c>
      <c r="L60" s="10" t="s">
        <v>478</v>
      </c>
      <c r="M60" s="10" t="s">
        <v>478</v>
      </c>
      <c r="N60" s="10" t="s">
        <v>478</v>
      </c>
      <c r="O60" s="10" t="s">
        <v>478</v>
      </c>
      <c r="P60" s="35">
        <f>0/12</f>
        <v>0</v>
      </c>
      <c r="Q60" s="43">
        <f>0/36</f>
        <v>0</v>
      </c>
    </row>
    <row r="61" spans="1:17" s="36" customFormat="1" ht="249.95" customHeight="1" x14ac:dyDescent="0.35">
      <c r="A61" s="10" t="s">
        <v>16</v>
      </c>
      <c r="B61" s="10" t="s">
        <v>3019</v>
      </c>
      <c r="C61" s="10" t="s">
        <v>29</v>
      </c>
      <c r="D61" s="10" t="s">
        <v>30</v>
      </c>
      <c r="E61" s="17" t="s">
        <v>479</v>
      </c>
      <c r="F61" s="17" t="s">
        <v>480</v>
      </c>
      <c r="G61" s="16" t="s">
        <v>481</v>
      </c>
      <c r="H61" s="16" t="s">
        <v>482</v>
      </c>
      <c r="I61" s="152" t="s">
        <v>3046</v>
      </c>
      <c r="J61" s="17" t="s">
        <v>483</v>
      </c>
      <c r="K61" s="16" t="s">
        <v>24</v>
      </c>
      <c r="L61" s="10" t="s">
        <v>484</v>
      </c>
      <c r="M61" s="10" t="s">
        <v>485</v>
      </c>
      <c r="N61" s="27" t="s">
        <v>2870</v>
      </c>
      <c r="O61" s="10" t="s">
        <v>2945</v>
      </c>
      <c r="P61" s="33">
        <f>6629/2810</f>
        <v>2.3590747330960853</v>
      </c>
      <c r="Q61" s="25">
        <f>12467/9765</f>
        <v>1.2767025089605735</v>
      </c>
    </row>
    <row r="62" spans="1:17" s="20" customFormat="1" ht="249.95" customHeight="1" x14ac:dyDescent="0.35">
      <c r="A62" s="10" t="s">
        <v>16</v>
      </c>
      <c r="B62" s="10" t="s">
        <v>3019</v>
      </c>
      <c r="C62" s="10" t="s">
        <v>29</v>
      </c>
      <c r="D62" s="10" t="s">
        <v>30</v>
      </c>
      <c r="E62" s="17" t="s">
        <v>486</v>
      </c>
      <c r="F62" s="17" t="s">
        <v>487</v>
      </c>
      <c r="G62" s="16" t="s">
        <v>488</v>
      </c>
      <c r="H62" s="16" t="s">
        <v>489</v>
      </c>
      <c r="I62" s="65" t="s">
        <v>3046</v>
      </c>
      <c r="J62" s="17" t="s">
        <v>490</v>
      </c>
      <c r="K62" s="16" t="s">
        <v>115</v>
      </c>
      <c r="L62" s="10" t="s">
        <v>491</v>
      </c>
      <c r="M62" s="10" t="s">
        <v>492</v>
      </c>
      <c r="N62" s="121" t="s">
        <v>493</v>
      </c>
      <c r="O62" s="10" t="s">
        <v>2946</v>
      </c>
      <c r="P62" s="123"/>
      <c r="Q62" s="124"/>
    </row>
    <row r="63" spans="1:17" s="36" customFormat="1" ht="249.95" customHeight="1" x14ac:dyDescent="0.35">
      <c r="A63" s="10" t="s">
        <v>16</v>
      </c>
      <c r="B63" s="10" t="s">
        <v>3019</v>
      </c>
      <c r="C63" s="10" t="s">
        <v>29</v>
      </c>
      <c r="D63" s="10" t="s">
        <v>30</v>
      </c>
      <c r="E63" s="10" t="s">
        <v>494</v>
      </c>
      <c r="F63" s="10" t="s">
        <v>495</v>
      </c>
      <c r="G63" s="10" t="s">
        <v>496</v>
      </c>
      <c r="H63" s="10" t="s">
        <v>497</v>
      </c>
      <c r="I63" s="152" t="s">
        <v>3046</v>
      </c>
      <c r="J63" s="10" t="s">
        <v>498</v>
      </c>
      <c r="K63" s="10" t="s">
        <v>45</v>
      </c>
      <c r="L63" s="10" t="s">
        <v>499</v>
      </c>
      <c r="M63" s="10" t="s">
        <v>500</v>
      </c>
      <c r="N63" s="10" t="s">
        <v>2871</v>
      </c>
      <c r="O63" s="10" t="s">
        <v>2947</v>
      </c>
      <c r="P63" s="33">
        <f>85/20</f>
        <v>4.25</v>
      </c>
      <c r="Q63" s="25">
        <f>106/60</f>
        <v>1.7666666666666666</v>
      </c>
    </row>
    <row r="64" spans="1:17" s="20" customFormat="1" ht="249.95" customHeight="1" x14ac:dyDescent="0.35">
      <c r="A64" s="10" t="s">
        <v>16</v>
      </c>
      <c r="B64" s="10" t="s">
        <v>3019</v>
      </c>
      <c r="C64" s="10" t="s">
        <v>29</v>
      </c>
      <c r="D64" s="10" t="s">
        <v>30</v>
      </c>
      <c r="E64" s="10" t="s">
        <v>501</v>
      </c>
      <c r="F64" s="10" t="s">
        <v>502</v>
      </c>
      <c r="G64" s="10" t="s">
        <v>503</v>
      </c>
      <c r="H64" s="10" t="s">
        <v>504</v>
      </c>
      <c r="I64" s="152" t="s">
        <v>3046</v>
      </c>
      <c r="J64" s="10" t="s">
        <v>505</v>
      </c>
      <c r="K64" s="10" t="s">
        <v>45</v>
      </c>
      <c r="L64" s="10" t="s">
        <v>506</v>
      </c>
      <c r="M64" s="10" t="s">
        <v>507</v>
      </c>
      <c r="N64" s="27" t="s">
        <v>2872</v>
      </c>
      <c r="O64" s="10" t="s">
        <v>2948</v>
      </c>
      <c r="P64" s="33">
        <f>48/16</f>
        <v>3</v>
      </c>
      <c r="Q64" s="25">
        <f>69/48</f>
        <v>1.4375</v>
      </c>
    </row>
    <row r="65" spans="1:17" s="20" customFormat="1" ht="249.95" customHeight="1" x14ac:dyDescent="0.35">
      <c r="A65" s="10" t="s">
        <v>16</v>
      </c>
      <c r="B65" s="10" t="s">
        <v>3019</v>
      </c>
      <c r="C65" s="10" t="s">
        <v>29</v>
      </c>
      <c r="D65" s="10" t="s">
        <v>30</v>
      </c>
      <c r="E65" s="16" t="s">
        <v>508</v>
      </c>
      <c r="F65" s="16" t="s">
        <v>508</v>
      </c>
      <c r="G65" s="16" t="s">
        <v>509</v>
      </c>
      <c r="H65" s="16" t="s">
        <v>510</v>
      </c>
      <c r="I65" s="152" t="s">
        <v>3046</v>
      </c>
      <c r="J65" s="16" t="s">
        <v>511</v>
      </c>
      <c r="K65" s="16" t="s">
        <v>115</v>
      </c>
      <c r="L65" s="10" t="s">
        <v>512</v>
      </c>
      <c r="M65" s="10" t="s">
        <v>403</v>
      </c>
      <c r="N65" s="92"/>
      <c r="O65" s="10" t="s">
        <v>513</v>
      </c>
      <c r="P65" s="123"/>
      <c r="Q65" s="124"/>
    </row>
    <row r="66" spans="1:17" s="20" customFormat="1" ht="249.95" customHeight="1" x14ac:dyDescent="0.35">
      <c r="A66" s="10" t="s">
        <v>16</v>
      </c>
      <c r="B66" s="10" t="s">
        <v>3019</v>
      </c>
      <c r="C66" s="10" t="s">
        <v>29</v>
      </c>
      <c r="D66" s="10" t="s">
        <v>30</v>
      </c>
      <c r="E66" s="17" t="s">
        <v>514</v>
      </c>
      <c r="F66" s="17" t="s">
        <v>515</v>
      </c>
      <c r="G66" s="16" t="s">
        <v>516</v>
      </c>
      <c r="H66" s="16" t="s">
        <v>517</v>
      </c>
      <c r="I66" s="152" t="s">
        <v>3046</v>
      </c>
      <c r="J66" s="17" t="s">
        <v>518</v>
      </c>
      <c r="K66" s="16" t="s">
        <v>24</v>
      </c>
      <c r="L66" s="10" t="s">
        <v>519</v>
      </c>
      <c r="M66" s="10" t="s">
        <v>514</v>
      </c>
      <c r="N66" s="10" t="s">
        <v>520</v>
      </c>
      <c r="O66" s="10" t="s">
        <v>521</v>
      </c>
      <c r="P66" s="126"/>
      <c r="Q66" s="127"/>
    </row>
    <row r="67" spans="1:17" s="20" customFormat="1" ht="249.95" customHeight="1" x14ac:dyDescent="0.35">
      <c r="A67" s="10" t="s">
        <v>16</v>
      </c>
      <c r="B67" s="10" t="s">
        <v>3019</v>
      </c>
      <c r="C67" s="10" t="s">
        <v>17</v>
      </c>
      <c r="D67" s="17" t="s">
        <v>522</v>
      </c>
      <c r="E67" s="17" t="s">
        <v>523</v>
      </c>
      <c r="F67" s="17" t="s">
        <v>524</v>
      </c>
      <c r="G67" s="10" t="s">
        <v>525</v>
      </c>
      <c r="H67" s="16" t="s">
        <v>526</v>
      </c>
      <c r="I67" s="152" t="s">
        <v>3046</v>
      </c>
      <c r="J67" s="17" t="s">
        <v>527</v>
      </c>
      <c r="K67" s="16" t="s">
        <v>24</v>
      </c>
      <c r="L67" s="10" t="s">
        <v>528</v>
      </c>
      <c r="M67" s="10" t="s">
        <v>529</v>
      </c>
      <c r="N67" s="10" t="s">
        <v>530</v>
      </c>
      <c r="O67" s="10" t="s">
        <v>531</v>
      </c>
      <c r="P67" s="33">
        <f>25/18</f>
        <v>1.3888888888888888</v>
      </c>
      <c r="Q67" s="25">
        <f>60/54</f>
        <v>1.1111111111111112</v>
      </c>
    </row>
    <row r="68" spans="1:17" s="20" customFormat="1" ht="249.95" customHeight="1" x14ac:dyDescent="0.35">
      <c r="A68" s="10" t="s">
        <v>16</v>
      </c>
      <c r="B68" s="10" t="s">
        <v>3019</v>
      </c>
      <c r="C68" s="10" t="s">
        <v>17</v>
      </c>
      <c r="D68" s="17" t="s">
        <v>97</v>
      </c>
      <c r="E68" s="17" t="s">
        <v>532</v>
      </c>
      <c r="F68" s="17" t="s">
        <v>533</v>
      </c>
      <c r="G68" s="16" t="s">
        <v>534</v>
      </c>
      <c r="H68" s="16" t="s">
        <v>535</v>
      </c>
      <c r="I68" s="152" t="s">
        <v>3046</v>
      </c>
      <c r="J68" s="17" t="s">
        <v>536</v>
      </c>
      <c r="K68" s="16" t="s">
        <v>24</v>
      </c>
      <c r="L68" s="10" t="s">
        <v>537</v>
      </c>
      <c r="M68" s="10" t="s">
        <v>538</v>
      </c>
      <c r="N68" s="10" t="s">
        <v>538</v>
      </c>
      <c r="O68" s="10" t="s">
        <v>2949</v>
      </c>
      <c r="P68" s="24">
        <f>13/20</f>
        <v>0.65</v>
      </c>
      <c r="Q68" s="37">
        <f>42/60</f>
        <v>0.7</v>
      </c>
    </row>
    <row r="69" spans="1:17" s="20" customFormat="1" ht="249.95" customHeight="1" x14ac:dyDescent="0.35">
      <c r="A69" s="10" t="s">
        <v>16</v>
      </c>
      <c r="B69" s="10" t="s">
        <v>3020</v>
      </c>
      <c r="C69" s="10" t="s">
        <v>17</v>
      </c>
      <c r="D69" s="16" t="s">
        <v>539</v>
      </c>
      <c r="E69" s="16" t="s">
        <v>540</v>
      </c>
      <c r="F69" s="16" t="s">
        <v>541</v>
      </c>
      <c r="G69" s="16" t="s">
        <v>542</v>
      </c>
      <c r="H69" s="16" t="s">
        <v>543</v>
      </c>
      <c r="I69" s="152" t="s">
        <v>3046</v>
      </c>
      <c r="J69" s="16" t="s">
        <v>544</v>
      </c>
      <c r="K69" s="16" t="s">
        <v>390</v>
      </c>
      <c r="L69" s="10" t="s">
        <v>545</v>
      </c>
      <c r="M69" s="10" t="s">
        <v>546</v>
      </c>
      <c r="N69" s="10" t="s">
        <v>2873</v>
      </c>
      <c r="O69" s="10" t="s">
        <v>2950</v>
      </c>
      <c r="P69" s="33">
        <f>89/48</f>
        <v>1.8541666666666667</v>
      </c>
      <c r="Q69" s="54">
        <f>247/158</f>
        <v>1.5632911392405062</v>
      </c>
    </row>
    <row r="70" spans="1:17" s="20" customFormat="1" ht="249.95" customHeight="1" x14ac:dyDescent="0.35">
      <c r="A70" s="10" t="s">
        <v>16</v>
      </c>
      <c r="B70" s="10" t="s">
        <v>3020</v>
      </c>
      <c r="C70" s="10" t="s">
        <v>17</v>
      </c>
      <c r="D70" s="16" t="s">
        <v>547</v>
      </c>
      <c r="E70" s="16" t="s">
        <v>548</v>
      </c>
      <c r="F70" s="16" t="s">
        <v>549</v>
      </c>
      <c r="G70" s="16" t="s">
        <v>550</v>
      </c>
      <c r="H70" s="16" t="s">
        <v>551</v>
      </c>
      <c r="I70" s="152" t="s">
        <v>3046</v>
      </c>
      <c r="J70" s="16" t="s">
        <v>552</v>
      </c>
      <c r="K70" s="16" t="s">
        <v>390</v>
      </c>
      <c r="L70" s="10" t="s">
        <v>553</v>
      </c>
      <c r="M70" s="10" t="s">
        <v>403</v>
      </c>
      <c r="N70" s="117"/>
      <c r="O70" s="10" t="s">
        <v>553</v>
      </c>
      <c r="P70" s="123"/>
      <c r="Q70" s="124"/>
    </row>
    <row r="71" spans="1:17" s="20" customFormat="1" ht="249.95" customHeight="1" x14ac:dyDescent="0.35">
      <c r="A71" s="10" t="s">
        <v>16</v>
      </c>
      <c r="B71" s="10" t="s">
        <v>3020</v>
      </c>
      <c r="C71" s="10" t="s">
        <v>17</v>
      </c>
      <c r="D71" s="64" t="s">
        <v>554</v>
      </c>
      <c r="E71" s="64" t="s">
        <v>555</v>
      </c>
      <c r="F71" s="64" t="s">
        <v>556</v>
      </c>
      <c r="G71" s="16" t="s">
        <v>557</v>
      </c>
      <c r="H71" s="16" t="s">
        <v>558</v>
      </c>
      <c r="I71" s="152" t="s">
        <v>3046</v>
      </c>
      <c r="J71" s="16" t="s">
        <v>559</v>
      </c>
      <c r="K71" s="16" t="s">
        <v>390</v>
      </c>
      <c r="L71" s="10" t="s">
        <v>560</v>
      </c>
      <c r="M71" s="10" t="s">
        <v>561</v>
      </c>
      <c r="N71" s="62" t="s">
        <v>2874</v>
      </c>
      <c r="O71" s="10" t="s">
        <v>2951</v>
      </c>
      <c r="P71" s="24">
        <f>18654/22400</f>
        <v>0.83276785714285717</v>
      </c>
      <c r="Q71" s="54">
        <f>73532/73474</f>
        <v>1.0007893948879876</v>
      </c>
    </row>
    <row r="72" spans="1:17" s="20" customFormat="1" ht="249.95" customHeight="1" x14ac:dyDescent="0.35">
      <c r="A72" s="10" t="s">
        <v>16</v>
      </c>
      <c r="B72" s="10" t="s">
        <v>3020</v>
      </c>
      <c r="C72" s="10" t="s">
        <v>17</v>
      </c>
      <c r="D72" s="16" t="s">
        <v>562</v>
      </c>
      <c r="E72" s="16" t="s">
        <v>522</v>
      </c>
      <c r="F72" s="16" t="s">
        <v>373</v>
      </c>
      <c r="G72" s="16" t="s">
        <v>563</v>
      </c>
      <c r="H72" s="16" t="s">
        <v>564</v>
      </c>
      <c r="I72" s="152" t="s">
        <v>3046</v>
      </c>
      <c r="J72" s="16" t="s">
        <v>565</v>
      </c>
      <c r="K72" s="16" t="s">
        <v>24</v>
      </c>
      <c r="L72" s="10" t="s">
        <v>566</v>
      </c>
      <c r="M72" s="10" t="s">
        <v>567</v>
      </c>
      <c r="N72" s="10" t="s">
        <v>2875</v>
      </c>
      <c r="O72" s="10" t="s">
        <v>2952</v>
      </c>
      <c r="P72" s="33">
        <f>6/4</f>
        <v>1.5</v>
      </c>
      <c r="Q72" s="25">
        <f>11/12</f>
        <v>0.91666666666666663</v>
      </c>
    </row>
    <row r="73" spans="1:17" s="20" customFormat="1" ht="249.95" customHeight="1" x14ac:dyDescent="0.35">
      <c r="A73" s="10" t="s">
        <v>16</v>
      </c>
      <c r="B73" s="10" t="s">
        <v>3020</v>
      </c>
      <c r="C73" s="10" t="s">
        <v>29</v>
      </c>
      <c r="D73" s="10" t="s">
        <v>30</v>
      </c>
      <c r="E73" s="16" t="s">
        <v>349</v>
      </c>
      <c r="F73" s="16" t="s">
        <v>349</v>
      </c>
      <c r="G73" s="16" t="s">
        <v>569</v>
      </c>
      <c r="H73" s="16" t="s">
        <v>570</v>
      </c>
      <c r="I73" s="152" t="s">
        <v>3046</v>
      </c>
      <c r="J73" s="16" t="s">
        <v>571</v>
      </c>
      <c r="K73" s="16" t="s">
        <v>568</v>
      </c>
      <c r="L73" s="10" t="s">
        <v>572</v>
      </c>
      <c r="M73" s="10" t="s">
        <v>399</v>
      </c>
      <c r="N73" s="10">
        <v>0</v>
      </c>
      <c r="O73" s="10" t="s">
        <v>573</v>
      </c>
      <c r="P73" s="35">
        <v>0</v>
      </c>
      <c r="Q73" s="54">
        <f>3/4</f>
        <v>0.75</v>
      </c>
    </row>
    <row r="74" spans="1:17" s="20" customFormat="1" ht="249.95" customHeight="1" x14ac:dyDescent="0.35">
      <c r="A74" s="10" t="s">
        <v>16</v>
      </c>
      <c r="B74" s="10" t="s">
        <v>3020</v>
      </c>
      <c r="C74" s="10"/>
      <c r="D74" s="10" t="s">
        <v>30</v>
      </c>
      <c r="E74" s="16" t="s">
        <v>574</v>
      </c>
      <c r="F74" s="16" t="s">
        <v>575</v>
      </c>
      <c r="G74" s="16" t="s">
        <v>576</v>
      </c>
      <c r="H74" s="16"/>
      <c r="I74" s="65" t="s">
        <v>3046</v>
      </c>
      <c r="J74" s="16"/>
      <c r="K74" s="16"/>
      <c r="L74" s="10">
        <v>0</v>
      </c>
      <c r="M74" s="10"/>
      <c r="N74" s="10" t="s">
        <v>2876</v>
      </c>
      <c r="O74" s="10" t="s">
        <v>2876</v>
      </c>
      <c r="P74" s="33">
        <f>2216/500</f>
        <v>4.4320000000000004</v>
      </c>
      <c r="Q74" s="54">
        <f>2216/1500</f>
        <v>1.4773333333333334</v>
      </c>
    </row>
    <row r="75" spans="1:17" s="20" customFormat="1" ht="249.95" customHeight="1" x14ac:dyDescent="0.35">
      <c r="A75" s="10" t="s">
        <v>16</v>
      </c>
      <c r="B75" s="10" t="s">
        <v>3020</v>
      </c>
      <c r="C75" s="10" t="s">
        <v>29</v>
      </c>
      <c r="D75" s="10" t="s">
        <v>30</v>
      </c>
      <c r="E75" s="16" t="s">
        <v>577</v>
      </c>
      <c r="F75" s="16" t="s">
        <v>578</v>
      </c>
      <c r="G75" s="16" t="s">
        <v>579</v>
      </c>
      <c r="H75" s="16" t="s">
        <v>580</v>
      </c>
      <c r="I75" s="65" t="s">
        <v>3046</v>
      </c>
      <c r="J75" s="16" t="s">
        <v>581</v>
      </c>
      <c r="K75" s="16" t="s">
        <v>40</v>
      </c>
      <c r="L75" s="10" t="s">
        <v>582</v>
      </c>
      <c r="M75" s="10" t="s">
        <v>583</v>
      </c>
      <c r="N75" s="10" t="s">
        <v>2877</v>
      </c>
      <c r="O75" s="10" t="s">
        <v>2953</v>
      </c>
      <c r="P75" s="33">
        <f>4/1</f>
        <v>4</v>
      </c>
      <c r="Q75" s="54">
        <f>7/3</f>
        <v>2.3333333333333335</v>
      </c>
    </row>
    <row r="76" spans="1:17" s="20" customFormat="1" ht="293.25" customHeight="1" x14ac:dyDescent="0.35">
      <c r="A76" s="10" t="s">
        <v>16</v>
      </c>
      <c r="B76" s="10" t="s">
        <v>3020</v>
      </c>
      <c r="C76" s="10" t="s">
        <v>29</v>
      </c>
      <c r="D76" s="10" t="s">
        <v>30</v>
      </c>
      <c r="E76" s="16" t="s">
        <v>584</v>
      </c>
      <c r="F76" s="16" t="s">
        <v>585</v>
      </c>
      <c r="G76" s="16" t="s">
        <v>586</v>
      </c>
      <c r="H76" s="16" t="s">
        <v>587</v>
      </c>
      <c r="I76" s="65" t="s">
        <v>3046</v>
      </c>
      <c r="J76" s="16" t="s">
        <v>588</v>
      </c>
      <c r="K76" s="16" t="s">
        <v>24</v>
      </c>
      <c r="L76" s="10" t="s">
        <v>589</v>
      </c>
      <c r="M76" s="10" t="s">
        <v>590</v>
      </c>
      <c r="N76" s="10" t="s">
        <v>591</v>
      </c>
      <c r="O76" s="10" t="s">
        <v>592</v>
      </c>
      <c r="P76" s="33">
        <f>8096/8000</f>
        <v>1.012</v>
      </c>
      <c r="Q76" s="54">
        <f>24397/21000</f>
        <v>1.1617619047619048</v>
      </c>
    </row>
    <row r="77" spans="1:17" s="36" customFormat="1" ht="249.95" customHeight="1" x14ac:dyDescent="0.35">
      <c r="A77" s="10" t="s">
        <v>16</v>
      </c>
      <c r="B77" s="10" t="s">
        <v>3020</v>
      </c>
      <c r="C77" s="10" t="s">
        <v>17</v>
      </c>
      <c r="D77" s="16" t="s">
        <v>594</v>
      </c>
      <c r="E77" s="16" t="s">
        <v>595</v>
      </c>
      <c r="F77" s="16" t="s">
        <v>596</v>
      </c>
      <c r="G77" s="16" t="s">
        <v>597</v>
      </c>
      <c r="H77" s="16" t="s">
        <v>598</v>
      </c>
      <c r="I77" s="152" t="s">
        <v>3046</v>
      </c>
      <c r="J77" s="16" t="s">
        <v>599</v>
      </c>
      <c r="K77" s="16" t="s">
        <v>593</v>
      </c>
      <c r="L77" s="10" t="s">
        <v>600</v>
      </c>
      <c r="M77" s="10" t="s">
        <v>601</v>
      </c>
      <c r="N77" s="10" t="s">
        <v>2878</v>
      </c>
      <c r="O77" s="10" t="s">
        <v>2954</v>
      </c>
      <c r="P77" s="35">
        <f>249/2000</f>
        <v>0.1245</v>
      </c>
      <c r="Q77" s="25">
        <f>6468/6000</f>
        <v>1.0780000000000001</v>
      </c>
    </row>
    <row r="78" spans="1:17" s="20" customFormat="1" ht="249.95" customHeight="1" x14ac:dyDescent="0.35">
      <c r="A78" s="10" t="s">
        <v>16</v>
      </c>
      <c r="B78" s="10" t="s">
        <v>3020</v>
      </c>
      <c r="C78" s="10" t="s">
        <v>17</v>
      </c>
      <c r="D78" s="16" t="s">
        <v>602</v>
      </c>
      <c r="E78" s="64" t="s">
        <v>603</v>
      </c>
      <c r="F78" s="64" t="s">
        <v>604</v>
      </c>
      <c r="G78" s="16" t="s">
        <v>605</v>
      </c>
      <c r="H78" s="16" t="s">
        <v>606</v>
      </c>
      <c r="I78" s="152" t="s">
        <v>3046</v>
      </c>
      <c r="J78" s="16" t="s">
        <v>607</v>
      </c>
      <c r="K78" s="16" t="s">
        <v>593</v>
      </c>
      <c r="L78" s="10" t="s">
        <v>608</v>
      </c>
      <c r="M78" s="10" t="s">
        <v>609</v>
      </c>
      <c r="N78" s="10" t="s">
        <v>2879</v>
      </c>
      <c r="O78" s="10" t="s">
        <v>2955</v>
      </c>
      <c r="P78" s="35">
        <f>249/1200</f>
        <v>0.20749999999999999</v>
      </c>
      <c r="Q78" s="25">
        <f>5291/3600</f>
        <v>1.4697222222222222</v>
      </c>
    </row>
    <row r="79" spans="1:17" s="20" customFormat="1" ht="249.95" customHeight="1" x14ac:dyDescent="0.35">
      <c r="A79" s="10" t="s">
        <v>16</v>
      </c>
      <c r="B79" s="10" t="s">
        <v>3020</v>
      </c>
      <c r="C79" s="10" t="s">
        <v>17</v>
      </c>
      <c r="D79" s="16" t="s">
        <v>610</v>
      </c>
      <c r="E79" s="16" t="s">
        <v>611</v>
      </c>
      <c r="F79" s="16" t="s">
        <v>612</v>
      </c>
      <c r="G79" s="16" t="s">
        <v>613</v>
      </c>
      <c r="H79" s="16" t="s">
        <v>614</v>
      </c>
      <c r="I79" s="152" t="s">
        <v>3046</v>
      </c>
      <c r="J79" s="16" t="s">
        <v>96</v>
      </c>
      <c r="K79" s="16" t="s">
        <v>224</v>
      </c>
      <c r="L79" s="10" t="s">
        <v>615</v>
      </c>
      <c r="M79" s="10" t="s">
        <v>616</v>
      </c>
      <c r="N79" s="52" t="s">
        <v>2880</v>
      </c>
      <c r="O79" s="10" t="s">
        <v>2956</v>
      </c>
      <c r="P79" s="24">
        <f>1851/1550</f>
        <v>1.1941935483870967</v>
      </c>
      <c r="Q79" s="25">
        <f>7549/4650</f>
        <v>1.6234408602150538</v>
      </c>
    </row>
    <row r="80" spans="1:17" s="20" customFormat="1" ht="249.95" customHeight="1" x14ac:dyDescent="0.35">
      <c r="A80" s="10" t="s">
        <v>16</v>
      </c>
      <c r="B80" s="10" t="s">
        <v>3020</v>
      </c>
      <c r="C80" s="10" t="s">
        <v>17</v>
      </c>
      <c r="D80" s="16" t="s">
        <v>617</v>
      </c>
      <c r="E80" s="16" t="s">
        <v>618</v>
      </c>
      <c r="F80" s="16" t="s">
        <v>619</v>
      </c>
      <c r="G80" s="16" t="s">
        <v>620</v>
      </c>
      <c r="H80" s="16" t="s">
        <v>621</v>
      </c>
      <c r="I80" s="152" t="s">
        <v>3046</v>
      </c>
      <c r="J80" s="16" t="s">
        <v>622</v>
      </c>
      <c r="K80" s="16" t="s">
        <v>224</v>
      </c>
      <c r="L80" s="10" t="s">
        <v>623</v>
      </c>
      <c r="M80" s="10" t="s">
        <v>624</v>
      </c>
      <c r="N80" s="52" t="s">
        <v>2881</v>
      </c>
      <c r="O80" s="10" t="s">
        <v>2957</v>
      </c>
      <c r="P80" s="24">
        <f>556/650</f>
        <v>0.85538461538461541</v>
      </c>
      <c r="Q80" s="25">
        <f>2616/1950</f>
        <v>1.3415384615384616</v>
      </c>
    </row>
    <row r="81" spans="1:17" s="20" customFormat="1" ht="249.95" customHeight="1" x14ac:dyDescent="0.35">
      <c r="A81" s="10" t="s">
        <v>16</v>
      </c>
      <c r="B81" s="10" t="s">
        <v>3020</v>
      </c>
      <c r="C81" s="10" t="s">
        <v>29</v>
      </c>
      <c r="D81" s="10" t="s">
        <v>30</v>
      </c>
      <c r="E81" s="16" t="s">
        <v>349</v>
      </c>
      <c r="F81" s="16" t="s">
        <v>349</v>
      </c>
      <c r="G81" s="16" t="s">
        <v>625</v>
      </c>
      <c r="H81" s="16" t="s">
        <v>626</v>
      </c>
      <c r="I81" s="152" t="s">
        <v>3046</v>
      </c>
      <c r="J81" s="16" t="s">
        <v>627</v>
      </c>
      <c r="K81" s="16" t="s">
        <v>568</v>
      </c>
      <c r="L81" s="10" t="s">
        <v>628</v>
      </c>
      <c r="M81" s="10" t="s">
        <v>399</v>
      </c>
      <c r="N81" s="10">
        <v>0</v>
      </c>
      <c r="O81" s="10" t="s">
        <v>629</v>
      </c>
      <c r="P81" s="35">
        <v>0</v>
      </c>
      <c r="Q81" s="54">
        <f>3/4</f>
        <v>0.75</v>
      </c>
    </row>
    <row r="82" spans="1:17" s="20" customFormat="1" ht="249.95" customHeight="1" x14ac:dyDescent="0.35">
      <c r="A82" s="10" t="s">
        <v>16</v>
      </c>
      <c r="B82" s="10" t="s">
        <v>3020</v>
      </c>
      <c r="C82" s="10" t="s">
        <v>17</v>
      </c>
      <c r="D82" s="10" t="s">
        <v>630</v>
      </c>
      <c r="E82" s="16" t="s">
        <v>631</v>
      </c>
      <c r="F82" s="16" t="s">
        <v>632</v>
      </c>
      <c r="G82" s="16" t="s">
        <v>633</v>
      </c>
      <c r="H82" s="16" t="s">
        <v>634</v>
      </c>
      <c r="I82" s="65" t="s">
        <v>3046</v>
      </c>
      <c r="J82" s="16" t="s">
        <v>635</v>
      </c>
      <c r="K82" s="16" t="s">
        <v>24</v>
      </c>
      <c r="L82" s="10" t="s">
        <v>636</v>
      </c>
      <c r="M82" s="10" t="s">
        <v>637</v>
      </c>
      <c r="N82" s="27" t="s">
        <v>638</v>
      </c>
      <c r="O82" s="10" t="s">
        <v>639</v>
      </c>
      <c r="P82" s="35">
        <f>383/1200</f>
        <v>0.31916666666666665</v>
      </c>
      <c r="Q82" s="61">
        <f>1631/3600</f>
        <v>0.45305555555555554</v>
      </c>
    </row>
    <row r="83" spans="1:17" s="20" customFormat="1" ht="249.95" customHeight="1" x14ac:dyDescent="0.35">
      <c r="A83" s="10" t="s">
        <v>16</v>
      </c>
      <c r="B83" s="10" t="s">
        <v>3020</v>
      </c>
      <c r="C83" s="10" t="s">
        <v>29</v>
      </c>
      <c r="D83" s="10" t="s">
        <v>30</v>
      </c>
      <c r="E83" s="16" t="s">
        <v>349</v>
      </c>
      <c r="F83" s="16" t="s">
        <v>349</v>
      </c>
      <c r="G83" s="16" t="s">
        <v>640</v>
      </c>
      <c r="H83" s="16" t="s">
        <v>641</v>
      </c>
      <c r="I83" s="152" t="s">
        <v>3046</v>
      </c>
      <c r="J83" s="16" t="s">
        <v>642</v>
      </c>
      <c r="K83" s="16" t="s">
        <v>568</v>
      </c>
      <c r="L83" s="10" t="s">
        <v>643</v>
      </c>
      <c r="M83" s="10" t="s">
        <v>399</v>
      </c>
      <c r="N83" s="10">
        <v>0</v>
      </c>
      <c r="O83" s="10" t="s">
        <v>644</v>
      </c>
      <c r="P83" s="35">
        <v>0</v>
      </c>
      <c r="Q83" s="54">
        <f>3/4</f>
        <v>0.75</v>
      </c>
    </row>
    <row r="84" spans="1:17" s="20" customFormat="1" ht="249.95" customHeight="1" x14ac:dyDescent="0.35">
      <c r="A84" s="10" t="s">
        <v>16</v>
      </c>
      <c r="B84" s="10" t="s">
        <v>3020</v>
      </c>
      <c r="C84" s="10" t="s">
        <v>29</v>
      </c>
      <c r="D84" s="10" t="s">
        <v>30</v>
      </c>
      <c r="E84" s="16" t="s">
        <v>645</v>
      </c>
      <c r="F84" s="16" t="s">
        <v>646</v>
      </c>
      <c r="G84" s="16" t="s">
        <v>647</v>
      </c>
      <c r="H84" s="16" t="s">
        <v>648</v>
      </c>
      <c r="I84" s="152" t="s">
        <v>3046</v>
      </c>
      <c r="J84" s="16" t="s">
        <v>649</v>
      </c>
      <c r="K84" s="16" t="s">
        <v>115</v>
      </c>
      <c r="L84" s="10" t="s">
        <v>650</v>
      </c>
      <c r="M84" s="10" t="s">
        <v>651</v>
      </c>
      <c r="N84" s="29" t="s">
        <v>653</v>
      </c>
      <c r="O84" s="10" t="s">
        <v>654</v>
      </c>
      <c r="P84" s="24">
        <f>1/2</f>
        <v>0.5</v>
      </c>
      <c r="Q84" s="25">
        <f>6/7</f>
        <v>0.8571428571428571</v>
      </c>
    </row>
    <row r="85" spans="1:17" s="36" customFormat="1" ht="249.95" customHeight="1" x14ac:dyDescent="0.35">
      <c r="A85" s="10" t="s">
        <v>16</v>
      </c>
      <c r="B85" s="10" t="s">
        <v>3021</v>
      </c>
      <c r="C85" s="10" t="s">
        <v>17</v>
      </c>
      <c r="D85" s="10" t="s">
        <v>655</v>
      </c>
      <c r="E85" s="10" t="s">
        <v>655</v>
      </c>
      <c r="F85" s="10" t="s">
        <v>655</v>
      </c>
      <c r="G85" s="10" t="s">
        <v>656</v>
      </c>
      <c r="H85" s="10" t="s">
        <v>657</v>
      </c>
      <c r="I85" s="152" t="s">
        <v>3047</v>
      </c>
      <c r="J85" s="10" t="s">
        <v>658</v>
      </c>
      <c r="K85" s="10" t="s">
        <v>322</v>
      </c>
      <c r="L85" s="10" t="s">
        <v>659</v>
      </c>
      <c r="M85" s="10" t="s">
        <v>660</v>
      </c>
      <c r="N85" s="10" t="s">
        <v>2882</v>
      </c>
      <c r="O85" s="10" t="s">
        <v>2958</v>
      </c>
      <c r="P85" s="33">
        <f>497/50</f>
        <v>9.94</v>
      </c>
      <c r="Q85" s="143">
        <f>588/50</f>
        <v>11.76</v>
      </c>
    </row>
    <row r="86" spans="1:17" s="36" customFormat="1" ht="249.95" customHeight="1" x14ac:dyDescent="0.35">
      <c r="A86" s="10" t="s">
        <v>16</v>
      </c>
      <c r="B86" s="10" t="s">
        <v>3021</v>
      </c>
      <c r="C86" s="10" t="s">
        <v>17</v>
      </c>
      <c r="D86" s="10" t="s">
        <v>661</v>
      </c>
      <c r="E86" s="10" t="s">
        <v>661</v>
      </c>
      <c r="F86" s="10" t="s">
        <v>661</v>
      </c>
      <c r="G86" s="10" t="s">
        <v>662</v>
      </c>
      <c r="H86" s="10" t="s">
        <v>663</v>
      </c>
      <c r="I86" s="65" t="s">
        <v>3046</v>
      </c>
      <c r="J86" s="10" t="s">
        <v>664</v>
      </c>
      <c r="K86" s="10" t="s">
        <v>315</v>
      </c>
      <c r="L86" s="10" t="s">
        <v>665</v>
      </c>
      <c r="M86" s="10" t="s">
        <v>666</v>
      </c>
      <c r="N86" s="10" t="s">
        <v>2883</v>
      </c>
      <c r="O86" s="10" t="s">
        <v>2959</v>
      </c>
      <c r="P86" s="54">
        <f>303/50</f>
        <v>6.06</v>
      </c>
      <c r="Q86" s="144">
        <f>477/50</f>
        <v>9.5399999999999991</v>
      </c>
    </row>
    <row r="87" spans="1:17" s="20" customFormat="1" ht="249.95" customHeight="1" x14ac:dyDescent="0.35">
      <c r="A87" s="10" t="s">
        <v>16</v>
      </c>
      <c r="B87" s="10" t="s">
        <v>3021</v>
      </c>
      <c r="C87" s="10" t="s">
        <v>29</v>
      </c>
      <c r="D87" s="10" t="s">
        <v>30</v>
      </c>
      <c r="E87" s="10" t="s">
        <v>667</v>
      </c>
      <c r="F87" s="10" t="s">
        <v>668</v>
      </c>
      <c r="G87" s="10" t="s">
        <v>669</v>
      </c>
      <c r="H87" s="10" t="s">
        <v>670</v>
      </c>
      <c r="I87" s="152" t="s">
        <v>3046</v>
      </c>
      <c r="J87" s="10" t="s">
        <v>671</v>
      </c>
      <c r="K87" s="10" t="s">
        <v>322</v>
      </c>
      <c r="L87" s="10" t="s">
        <v>672</v>
      </c>
      <c r="M87" s="10" t="s">
        <v>673</v>
      </c>
      <c r="N87" s="27" t="s">
        <v>2884</v>
      </c>
      <c r="O87" s="10" t="s">
        <v>2960</v>
      </c>
      <c r="P87" s="33">
        <f>36/5</f>
        <v>7.2</v>
      </c>
      <c r="Q87" s="25">
        <f>146/15</f>
        <v>9.7333333333333325</v>
      </c>
    </row>
    <row r="88" spans="1:17" s="36" customFormat="1" ht="249.95" customHeight="1" x14ac:dyDescent="0.35">
      <c r="A88" s="10" t="s">
        <v>16</v>
      </c>
      <c r="B88" s="10" t="s">
        <v>3021</v>
      </c>
      <c r="C88" s="10" t="s">
        <v>29</v>
      </c>
      <c r="D88" s="10" t="s">
        <v>30</v>
      </c>
      <c r="E88" s="10" t="s">
        <v>674</v>
      </c>
      <c r="F88" s="10" t="s">
        <v>675</v>
      </c>
      <c r="G88" s="10" t="s">
        <v>676</v>
      </c>
      <c r="H88" s="10" t="s">
        <v>677</v>
      </c>
      <c r="I88" s="65" t="s">
        <v>3046</v>
      </c>
      <c r="J88" s="10" t="s">
        <v>678</v>
      </c>
      <c r="K88" s="10" t="s">
        <v>24</v>
      </c>
      <c r="L88" s="10" t="s">
        <v>679</v>
      </c>
      <c r="M88" s="10" t="s">
        <v>680</v>
      </c>
      <c r="N88" s="10" t="s">
        <v>2885</v>
      </c>
      <c r="O88" s="10" t="s">
        <v>2961</v>
      </c>
      <c r="P88" s="33">
        <f>134/65</f>
        <v>2.0615384615384613</v>
      </c>
      <c r="Q88" s="25">
        <f>393/130</f>
        <v>3.023076923076923</v>
      </c>
    </row>
    <row r="89" spans="1:17" s="20" customFormat="1" ht="249.95" customHeight="1" x14ac:dyDescent="0.35">
      <c r="A89" s="10" t="s">
        <v>16</v>
      </c>
      <c r="B89" s="10" t="s">
        <v>3021</v>
      </c>
      <c r="C89" s="10" t="s">
        <v>29</v>
      </c>
      <c r="D89" s="10" t="s">
        <v>30</v>
      </c>
      <c r="E89" s="10" t="s">
        <v>681</v>
      </c>
      <c r="F89" s="10" t="s">
        <v>682</v>
      </c>
      <c r="G89" s="10" t="s">
        <v>683</v>
      </c>
      <c r="H89" s="10" t="s">
        <v>684</v>
      </c>
      <c r="I89" s="152" t="s">
        <v>3046</v>
      </c>
      <c r="J89" s="10" t="s">
        <v>685</v>
      </c>
      <c r="K89" s="10" t="s">
        <v>322</v>
      </c>
      <c r="L89" s="10" t="s">
        <v>686</v>
      </c>
      <c r="M89" s="10" t="s">
        <v>178</v>
      </c>
      <c r="N89" s="27" t="s">
        <v>2886</v>
      </c>
      <c r="O89" s="10" t="s">
        <v>2962</v>
      </c>
      <c r="P89" s="33">
        <f>206/2</f>
        <v>103</v>
      </c>
      <c r="Q89" s="25">
        <f>217/6</f>
        <v>36.166666666666664</v>
      </c>
    </row>
    <row r="90" spans="1:17" s="36" customFormat="1" ht="249.95" customHeight="1" x14ac:dyDescent="0.35">
      <c r="A90" s="10" t="s">
        <v>16</v>
      </c>
      <c r="B90" s="10" t="s">
        <v>3021</v>
      </c>
      <c r="C90" s="10" t="s">
        <v>17</v>
      </c>
      <c r="D90" s="10" t="s">
        <v>687</v>
      </c>
      <c r="E90" s="10" t="s">
        <v>688</v>
      </c>
      <c r="F90" s="10" t="s">
        <v>689</v>
      </c>
      <c r="G90" s="10" t="s">
        <v>690</v>
      </c>
      <c r="H90" s="10" t="s">
        <v>691</v>
      </c>
      <c r="I90" s="152" t="s">
        <v>3046</v>
      </c>
      <c r="J90" s="10" t="s">
        <v>692</v>
      </c>
      <c r="K90" s="10" t="s">
        <v>322</v>
      </c>
      <c r="L90" s="10" t="s">
        <v>693</v>
      </c>
      <c r="M90" s="10" t="s">
        <v>694</v>
      </c>
      <c r="N90" s="10" t="s">
        <v>2887</v>
      </c>
      <c r="O90" s="10" t="s">
        <v>2963</v>
      </c>
      <c r="P90" s="33">
        <f>115767/3000</f>
        <v>38.588999999999999</v>
      </c>
      <c r="Q90" s="25">
        <f>214889/9000</f>
        <v>23.876555555555555</v>
      </c>
    </row>
    <row r="91" spans="1:17" s="20" customFormat="1" ht="249.95" customHeight="1" x14ac:dyDescent="0.35">
      <c r="A91" s="10" t="s">
        <v>16</v>
      </c>
      <c r="B91" s="10" t="s">
        <v>3021</v>
      </c>
      <c r="C91" s="10" t="s">
        <v>29</v>
      </c>
      <c r="D91" s="10" t="s">
        <v>30</v>
      </c>
      <c r="E91" s="10" t="s">
        <v>695</v>
      </c>
      <c r="F91" s="10" t="s">
        <v>696</v>
      </c>
      <c r="G91" s="10" t="s">
        <v>697</v>
      </c>
      <c r="H91" s="10" t="s">
        <v>698</v>
      </c>
      <c r="I91" s="152" t="s">
        <v>3046</v>
      </c>
      <c r="J91" s="10" t="s">
        <v>699</v>
      </c>
      <c r="K91" s="10" t="s">
        <v>322</v>
      </c>
      <c r="L91" s="10" t="s">
        <v>700</v>
      </c>
      <c r="M91" s="10" t="s">
        <v>701</v>
      </c>
      <c r="N91" s="10" t="s">
        <v>702</v>
      </c>
      <c r="O91" s="10" t="s">
        <v>703</v>
      </c>
      <c r="P91" s="123"/>
      <c r="Q91" s="124"/>
    </row>
    <row r="92" spans="1:17" s="20" customFormat="1" ht="249.95" customHeight="1" x14ac:dyDescent="0.35">
      <c r="A92" s="10" t="s">
        <v>16</v>
      </c>
      <c r="B92" s="10" t="s">
        <v>3021</v>
      </c>
      <c r="C92" s="10" t="s">
        <v>29</v>
      </c>
      <c r="D92" s="10" t="s">
        <v>30</v>
      </c>
      <c r="E92" s="10" t="s">
        <v>704</v>
      </c>
      <c r="F92" s="10" t="s">
        <v>705</v>
      </c>
      <c r="G92" s="10" t="s">
        <v>706</v>
      </c>
      <c r="H92" s="10" t="s">
        <v>707</v>
      </c>
      <c r="I92" s="65" t="s">
        <v>3047</v>
      </c>
      <c r="J92" s="10" t="s">
        <v>708</v>
      </c>
      <c r="K92" s="10" t="s">
        <v>315</v>
      </c>
      <c r="L92" s="10" t="s">
        <v>709</v>
      </c>
      <c r="M92" s="10" t="s">
        <v>710</v>
      </c>
      <c r="N92" s="27" t="s">
        <v>711</v>
      </c>
      <c r="O92" s="27" t="s">
        <v>711</v>
      </c>
      <c r="P92" s="25">
        <v>1</v>
      </c>
      <c r="Q92" s="66">
        <v>1</v>
      </c>
    </row>
    <row r="93" spans="1:17" s="56" customFormat="1" ht="249.95" customHeight="1" x14ac:dyDescent="0.35">
      <c r="A93" s="10" t="s">
        <v>16</v>
      </c>
      <c r="B93" s="10" t="s">
        <v>3021</v>
      </c>
      <c r="C93" s="10" t="s">
        <v>29</v>
      </c>
      <c r="D93" s="10" t="s">
        <v>30</v>
      </c>
      <c r="E93" s="10" t="s">
        <v>712</v>
      </c>
      <c r="F93" s="10" t="s">
        <v>713</v>
      </c>
      <c r="G93" s="10" t="s">
        <v>714</v>
      </c>
      <c r="H93" s="10" t="s">
        <v>715</v>
      </c>
      <c r="I93" s="152" t="s">
        <v>3046</v>
      </c>
      <c r="J93" s="10" t="s">
        <v>716</v>
      </c>
      <c r="K93" s="10" t="s">
        <v>315</v>
      </c>
      <c r="L93" s="10" t="s">
        <v>717</v>
      </c>
      <c r="M93" s="10" t="s">
        <v>718</v>
      </c>
      <c r="N93" s="10">
        <v>0</v>
      </c>
      <c r="O93" s="10" t="s">
        <v>719</v>
      </c>
      <c r="P93" s="43">
        <v>0</v>
      </c>
      <c r="Q93" s="67">
        <f>18/15</f>
        <v>1.2</v>
      </c>
    </row>
    <row r="94" spans="1:17" s="36" customFormat="1" ht="249.95" customHeight="1" x14ac:dyDescent="0.35">
      <c r="A94" s="10" t="s">
        <v>16</v>
      </c>
      <c r="B94" s="10" t="s">
        <v>3021</v>
      </c>
      <c r="C94" s="10" t="s">
        <v>29</v>
      </c>
      <c r="D94" s="10" t="s">
        <v>30</v>
      </c>
      <c r="E94" s="10" t="s">
        <v>720</v>
      </c>
      <c r="F94" s="10" t="s">
        <v>721</v>
      </c>
      <c r="G94" s="10" t="s">
        <v>722</v>
      </c>
      <c r="H94" s="10" t="s">
        <v>723</v>
      </c>
      <c r="I94" s="65" t="s">
        <v>3046</v>
      </c>
      <c r="J94" s="10" t="s">
        <v>724</v>
      </c>
      <c r="K94" s="10" t="s">
        <v>315</v>
      </c>
      <c r="L94" s="10" t="s">
        <v>725</v>
      </c>
      <c r="M94" s="10" t="s">
        <v>726</v>
      </c>
      <c r="N94" s="27" t="s">
        <v>2888</v>
      </c>
      <c r="O94" s="10" t="s">
        <v>2964</v>
      </c>
      <c r="P94" s="25">
        <f>13/4</f>
        <v>3.25</v>
      </c>
      <c r="Q94" s="25">
        <f>26/12</f>
        <v>2.1666666666666665</v>
      </c>
    </row>
    <row r="95" spans="1:17" s="36" customFormat="1" ht="249.95" customHeight="1" x14ac:dyDescent="0.35">
      <c r="A95" s="10" t="s">
        <v>16</v>
      </c>
      <c r="B95" s="10" t="s">
        <v>3021</v>
      </c>
      <c r="C95" s="10" t="s">
        <v>29</v>
      </c>
      <c r="D95" s="10" t="s">
        <v>30</v>
      </c>
      <c r="E95" s="10" t="s">
        <v>727</v>
      </c>
      <c r="F95" s="10" t="s">
        <v>728</v>
      </c>
      <c r="G95" s="10" t="s">
        <v>729</v>
      </c>
      <c r="H95" s="10" t="s">
        <v>730</v>
      </c>
      <c r="I95" s="152" t="s">
        <v>3046</v>
      </c>
      <c r="J95" s="10" t="s">
        <v>731</v>
      </c>
      <c r="K95" s="10" t="s">
        <v>322</v>
      </c>
      <c r="L95" s="10" t="s">
        <v>732</v>
      </c>
      <c r="M95" s="10" t="s">
        <v>733</v>
      </c>
      <c r="N95" s="10">
        <v>0</v>
      </c>
      <c r="O95" s="10" t="s">
        <v>734</v>
      </c>
      <c r="P95" s="35">
        <v>0</v>
      </c>
      <c r="Q95" s="25">
        <f>115/150</f>
        <v>0.76666666666666672</v>
      </c>
    </row>
    <row r="96" spans="1:17" s="20" customFormat="1" ht="249.95" customHeight="1" x14ac:dyDescent="0.35">
      <c r="A96" s="10" t="s">
        <v>16</v>
      </c>
      <c r="B96" s="10" t="s">
        <v>3021</v>
      </c>
      <c r="C96" s="10" t="s">
        <v>29</v>
      </c>
      <c r="D96" s="10" t="s">
        <v>30</v>
      </c>
      <c r="E96" s="10" t="s">
        <v>735</v>
      </c>
      <c r="F96" s="10" t="s">
        <v>736</v>
      </c>
      <c r="G96" s="10" t="s">
        <v>737</v>
      </c>
      <c r="H96" s="10" t="s">
        <v>738</v>
      </c>
      <c r="I96" s="152" t="s">
        <v>3046</v>
      </c>
      <c r="J96" s="10" t="s">
        <v>739</v>
      </c>
      <c r="K96" s="10" t="s">
        <v>322</v>
      </c>
      <c r="L96" s="10" t="s">
        <v>740</v>
      </c>
      <c r="M96" s="10" t="s">
        <v>741</v>
      </c>
      <c r="N96" s="10" t="s">
        <v>2854</v>
      </c>
      <c r="O96" s="10" t="s">
        <v>2965</v>
      </c>
      <c r="P96" s="61">
        <f>28/50</f>
        <v>0.56000000000000005</v>
      </c>
      <c r="Q96" s="25">
        <f>123/150</f>
        <v>0.82</v>
      </c>
    </row>
    <row r="97" spans="1:17" s="20" customFormat="1" ht="249.95" customHeight="1" x14ac:dyDescent="0.35">
      <c r="A97" s="10" t="s">
        <v>16</v>
      </c>
      <c r="B97" s="10" t="s">
        <v>3021</v>
      </c>
      <c r="C97" s="10" t="s">
        <v>29</v>
      </c>
      <c r="D97" s="10" t="s">
        <v>30</v>
      </c>
      <c r="E97" s="10" t="s">
        <v>735</v>
      </c>
      <c r="F97" s="10" t="s">
        <v>736</v>
      </c>
      <c r="G97" s="10" t="s">
        <v>742</v>
      </c>
      <c r="H97" s="10" t="s">
        <v>743</v>
      </c>
      <c r="I97" s="152" t="s">
        <v>3046</v>
      </c>
      <c r="J97" s="10" t="s">
        <v>744</v>
      </c>
      <c r="K97" s="10" t="s">
        <v>322</v>
      </c>
      <c r="L97" s="10" t="s">
        <v>745</v>
      </c>
      <c r="M97" s="10" t="s">
        <v>747</v>
      </c>
      <c r="N97" s="27" t="s">
        <v>2889</v>
      </c>
      <c r="O97" s="10" t="s">
        <v>2966</v>
      </c>
      <c r="P97" s="33">
        <f>208/50</f>
        <v>4.16</v>
      </c>
      <c r="Q97" s="25">
        <f>563/150</f>
        <v>3.7533333333333334</v>
      </c>
    </row>
    <row r="98" spans="1:17" s="20" customFormat="1" ht="249.95" customHeight="1" x14ac:dyDescent="0.35">
      <c r="A98" s="10" t="s">
        <v>16</v>
      </c>
      <c r="B98" s="10" t="s">
        <v>3021</v>
      </c>
      <c r="C98" s="10" t="s">
        <v>17</v>
      </c>
      <c r="D98" s="10" t="s">
        <v>748</v>
      </c>
      <c r="E98" s="10" t="s">
        <v>749</v>
      </c>
      <c r="F98" s="10" t="s">
        <v>750</v>
      </c>
      <c r="G98" s="10" t="s">
        <v>751</v>
      </c>
      <c r="H98" s="10" t="s">
        <v>752</v>
      </c>
      <c r="I98" s="152" t="s">
        <v>3046</v>
      </c>
      <c r="J98" s="10" t="s">
        <v>753</v>
      </c>
      <c r="K98" s="10" t="s">
        <v>322</v>
      </c>
      <c r="L98" s="10" t="s">
        <v>754</v>
      </c>
      <c r="M98" s="10" t="s">
        <v>755</v>
      </c>
      <c r="N98" s="27" t="s">
        <v>2890</v>
      </c>
      <c r="O98" s="10" t="s">
        <v>2967</v>
      </c>
      <c r="P98" s="33">
        <f>29/20</f>
        <v>1.45</v>
      </c>
      <c r="Q98" s="25">
        <f>131/60</f>
        <v>2.1833333333333331</v>
      </c>
    </row>
    <row r="99" spans="1:17" s="56" customFormat="1" ht="249.95" customHeight="1" x14ac:dyDescent="0.35">
      <c r="A99" s="10" t="s">
        <v>16</v>
      </c>
      <c r="B99" s="10" t="s">
        <v>3021</v>
      </c>
      <c r="C99" s="10" t="s">
        <v>29</v>
      </c>
      <c r="D99" s="10" t="s">
        <v>30</v>
      </c>
      <c r="E99" s="10" t="s">
        <v>756</v>
      </c>
      <c r="F99" s="10" t="s">
        <v>756</v>
      </c>
      <c r="G99" s="10" t="s">
        <v>757</v>
      </c>
      <c r="H99" s="10" t="s">
        <v>758</v>
      </c>
      <c r="I99" s="152" t="s">
        <v>3046</v>
      </c>
      <c r="J99" s="10" t="s">
        <v>759</v>
      </c>
      <c r="K99" s="10" t="s">
        <v>322</v>
      </c>
      <c r="L99" s="10" t="s">
        <v>760</v>
      </c>
      <c r="M99" s="10" t="s">
        <v>761</v>
      </c>
      <c r="N99" s="39" t="s">
        <v>762</v>
      </c>
      <c r="O99" s="10" t="s">
        <v>2968</v>
      </c>
      <c r="P99" s="25">
        <f>3/2</f>
        <v>1.5</v>
      </c>
      <c r="Q99" s="25">
        <f>8/2</f>
        <v>4</v>
      </c>
    </row>
    <row r="100" spans="1:17" s="20" customFormat="1" ht="249.95" customHeight="1" x14ac:dyDescent="0.35">
      <c r="A100" s="10" t="s">
        <v>16</v>
      </c>
      <c r="B100" s="10" t="s">
        <v>3021</v>
      </c>
      <c r="C100" s="10" t="s">
        <v>17</v>
      </c>
      <c r="D100" s="10" t="s">
        <v>763</v>
      </c>
      <c r="E100" s="10" t="s">
        <v>764</v>
      </c>
      <c r="F100" s="10" t="s">
        <v>765</v>
      </c>
      <c r="G100" s="10" t="s">
        <v>766</v>
      </c>
      <c r="H100" s="10" t="s">
        <v>767</v>
      </c>
      <c r="I100" s="152" t="s">
        <v>3046</v>
      </c>
      <c r="J100" s="10" t="s">
        <v>768</v>
      </c>
      <c r="K100" s="10" t="s">
        <v>322</v>
      </c>
      <c r="L100" s="10" t="s">
        <v>769</v>
      </c>
      <c r="M100" s="10" t="s">
        <v>770</v>
      </c>
      <c r="N100" s="10" t="s">
        <v>1893</v>
      </c>
      <c r="O100" s="10" t="s">
        <v>2969</v>
      </c>
      <c r="P100" s="35">
        <f>13/52</f>
        <v>0.25</v>
      </c>
      <c r="Q100" s="43">
        <f>44/156</f>
        <v>0.28205128205128205</v>
      </c>
    </row>
    <row r="101" spans="1:17" s="20" customFormat="1" ht="249.95" customHeight="1" x14ac:dyDescent="0.35">
      <c r="A101" s="10" t="s">
        <v>16</v>
      </c>
      <c r="B101" s="10" t="s">
        <v>3022</v>
      </c>
      <c r="C101" s="10" t="s">
        <v>29</v>
      </c>
      <c r="D101" s="10" t="s">
        <v>30</v>
      </c>
      <c r="E101" s="64" t="s">
        <v>771</v>
      </c>
      <c r="F101" s="64" t="s">
        <v>772</v>
      </c>
      <c r="G101" s="16" t="s">
        <v>773</v>
      </c>
      <c r="H101" s="16" t="s">
        <v>774</v>
      </c>
      <c r="I101" s="152" t="s">
        <v>3046</v>
      </c>
      <c r="J101" s="16" t="s">
        <v>775</v>
      </c>
      <c r="K101" s="16" t="s">
        <v>593</v>
      </c>
      <c r="L101" s="10" t="s">
        <v>776</v>
      </c>
      <c r="M101" s="10" t="s">
        <v>777</v>
      </c>
      <c r="N101" s="10" t="s">
        <v>778</v>
      </c>
      <c r="O101" s="10" t="s">
        <v>779</v>
      </c>
      <c r="P101" s="33">
        <f>557/415</f>
        <v>1.3421686746987951</v>
      </c>
      <c r="Q101" s="25">
        <f>1472/1245</f>
        <v>1.1823293172690763</v>
      </c>
    </row>
    <row r="102" spans="1:17" s="20" customFormat="1" ht="249.95" customHeight="1" x14ac:dyDescent="0.35">
      <c r="A102" s="10" t="s">
        <v>16</v>
      </c>
      <c r="B102" s="10" t="s">
        <v>3022</v>
      </c>
      <c r="C102" s="10" t="s">
        <v>29</v>
      </c>
      <c r="D102" s="10" t="s">
        <v>30</v>
      </c>
      <c r="E102" s="16" t="s">
        <v>414</v>
      </c>
      <c r="F102" s="16" t="s">
        <v>349</v>
      </c>
      <c r="G102" s="16" t="s">
        <v>780</v>
      </c>
      <c r="H102" s="16" t="s">
        <v>781</v>
      </c>
      <c r="I102" s="152" t="s">
        <v>3046</v>
      </c>
      <c r="J102" s="16" t="s">
        <v>782</v>
      </c>
      <c r="K102" s="16" t="s">
        <v>783</v>
      </c>
      <c r="L102" s="10" t="s">
        <v>784</v>
      </c>
      <c r="M102" s="10" t="s">
        <v>784</v>
      </c>
      <c r="N102" s="10" t="s">
        <v>785</v>
      </c>
      <c r="O102" s="10" t="s">
        <v>786</v>
      </c>
      <c r="P102" s="33">
        <f>2/1</f>
        <v>2</v>
      </c>
      <c r="Q102" s="37">
        <f>2/4</f>
        <v>0.5</v>
      </c>
    </row>
    <row r="103" spans="1:17" s="20" customFormat="1" ht="249.95" customHeight="1" x14ac:dyDescent="0.35">
      <c r="A103" s="10" t="s">
        <v>16</v>
      </c>
      <c r="B103" s="10" t="s">
        <v>3022</v>
      </c>
      <c r="C103" s="10" t="s">
        <v>17</v>
      </c>
      <c r="D103" s="16" t="s">
        <v>787</v>
      </c>
      <c r="E103" s="16" t="s">
        <v>787</v>
      </c>
      <c r="F103" s="16" t="s">
        <v>787</v>
      </c>
      <c r="G103" s="16" t="s">
        <v>788</v>
      </c>
      <c r="H103" s="16" t="s">
        <v>789</v>
      </c>
      <c r="I103" s="152" t="s">
        <v>3047</v>
      </c>
      <c r="J103" s="16" t="s">
        <v>790</v>
      </c>
      <c r="K103" s="16" t="s">
        <v>783</v>
      </c>
      <c r="L103" s="10" t="s">
        <v>791</v>
      </c>
      <c r="M103" s="10" t="s">
        <v>792</v>
      </c>
      <c r="N103" s="27" t="s">
        <v>793</v>
      </c>
      <c r="O103" s="10" t="s">
        <v>793</v>
      </c>
      <c r="P103" s="33">
        <f>54/50</f>
        <v>1.08</v>
      </c>
      <c r="Q103" s="33">
        <f>54/50</f>
        <v>1.08</v>
      </c>
    </row>
    <row r="104" spans="1:17" s="20" customFormat="1" ht="249.95" customHeight="1" x14ac:dyDescent="0.35">
      <c r="A104" s="10" t="s">
        <v>16</v>
      </c>
      <c r="B104" s="10" t="s">
        <v>3022</v>
      </c>
      <c r="C104" s="10" t="s">
        <v>29</v>
      </c>
      <c r="D104" s="10" t="s">
        <v>30</v>
      </c>
      <c r="E104" s="16" t="s">
        <v>794</v>
      </c>
      <c r="F104" s="16" t="s">
        <v>795</v>
      </c>
      <c r="G104" s="16" t="s">
        <v>796</v>
      </c>
      <c r="H104" s="16" t="s">
        <v>797</v>
      </c>
      <c r="I104" s="152" t="s">
        <v>3046</v>
      </c>
      <c r="J104" s="16" t="s">
        <v>798</v>
      </c>
      <c r="K104" s="16" t="s">
        <v>783</v>
      </c>
      <c r="L104" s="10" t="s">
        <v>799</v>
      </c>
      <c r="M104" s="10" t="s">
        <v>800</v>
      </c>
      <c r="N104" s="10" t="s">
        <v>416</v>
      </c>
      <c r="O104" s="10" t="s">
        <v>801</v>
      </c>
      <c r="P104" s="33">
        <f>1/1</f>
        <v>1</v>
      </c>
      <c r="Q104" s="68">
        <f>3/3</f>
        <v>1</v>
      </c>
    </row>
    <row r="105" spans="1:17" s="36" customFormat="1" ht="249.95" customHeight="1" x14ac:dyDescent="0.35">
      <c r="A105" s="10" t="s">
        <v>16</v>
      </c>
      <c r="B105" s="10" t="s">
        <v>3022</v>
      </c>
      <c r="C105" s="10" t="s">
        <v>29</v>
      </c>
      <c r="D105" s="16" t="s">
        <v>30</v>
      </c>
      <c r="E105" s="16" t="s">
        <v>802</v>
      </c>
      <c r="F105" s="16" t="s">
        <v>803</v>
      </c>
      <c r="G105" s="16" t="s">
        <v>804</v>
      </c>
      <c r="H105" s="16" t="s">
        <v>805</v>
      </c>
      <c r="I105" s="152" t="s">
        <v>3046</v>
      </c>
      <c r="J105" s="16" t="s">
        <v>806</v>
      </c>
      <c r="K105" s="16" t="s">
        <v>783</v>
      </c>
      <c r="L105" s="10" t="s">
        <v>807</v>
      </c>
      <c r="M105" s="46" t="s">
        <v>808</v>
      </c>
      <c r="N105" s="46" t="s">
        <v>809</v>
      </c>
      <c r="O105" s="10" t="s">
        <v>810</v>
      </c>
      <c r="P105" s="24">
        <f>557/900</f>
        <v>0.61888888888888893</v>
      </c>
      <c r="Q105" s="68">
        <f>5730/2700</f>
        <v>2.1222222222222222</v>
      </c>
    </row>
    <row r="106" spans="1:17" s="20" customFormat="1" ht="249.95" customHeight="1" x14ac:dyDescent="0.35">
      <c r="A106" s="10" t="s">
        <v>16</v>
      </c>
      <c r="B106" s="10" t="s">
        <v>3022</v>
      </c>
      <c r="C106" s="10" t="s">
        <v>29</v>
      </c>
      <c r="D106" s="16" t="s">
        <v>30</v>
      </c>
      <c r="E106" s="16" t="s">
        <v>811</v>
      </c>
      <c r="F106" s="16" t="s">
        <v>812</v>
      </c>
      <c r="G106" s="16" t="s">
        <v>813</v>
      </c>
      <c r="H106" s="16" t="s">
        <v>814</v>
      </c>
      <c r="I106" s="65" t="s">
        <v>3046</v>
      </c>
      <c r="J106" s="16" t="s">
        <v>815</v>
      </c>
      <c r="K106" s="16" t="s">
        <v>593</v>
      </c>
      <c r="L106" s="10" t="s">
        <v>816</v>
      </c>
      <c r="M106" s="10" t="s">
        <v>817</v>
      </c>
      <c r="N106" s="29" t="s">
        <v>818</v>
      </c>
      <c r="O106" s="10" t="s">
        <v>819</v>
      </c>
      <c r="P106" s="33">
        <f>5/5</f>
        <v>1</v>
      </c>
      <c r="Q106" s="68">
        <f>18/15</f>
        <v>1.2</v>
      </c>
    </row>
    <row r="107" spans="1:17" s="36" customFormat="1" ht="249.95" customHeight="1" x14ac:dyDescent="0.35">
      <c r="A107" s="10" t="s">
        <v>16</v>
      </c>
      <c r="B107" s="10" t="s">
        <v>3022</v>
      </c>
      <c r="C107" s="10" t="s">
        <v>17</v>
      </c>
      <c r="D107" s="64" t="s">
        <v>820</v>
      </c>
      <c r="E107" s="64" t="s">
        <v>821</v>
      </c>
      <c r="F107" s="64" t="s">
        <v>822</v>
      </c>
      <c r="G107" s="16" t="s">
        <v>823</v>
      </c>
      <c r="H107" s="16" t="s">
        <v>824</v>
      </c>
      <c r="I107" s="152" t="s">
        <v>3046</v>
      </c>
      <c r="J107" s="16" t="s">
        <v>825</v>
      </c>
      <c r="K107" s="16" t="s">
        <v>783</v>
      </c>
      <c r="L107" s="10" t="s">
        <v>826</v>
      </c>
      <c r="M107" s="46" t="s">
        <v>827</v>
      </c>
      <c r="N107" s="27" t="s">
        <v>2891</v>
      </c>
      <c r="O107" s="46" t="s">
        <v>2970</v>
      </c>
      <c r="P107" s="33">
        <f>19690/5000</f>
        <v>3.9380000000000002</v>
      </c>
      <c r="Q107" s="68">
        <f>39959/15000</f>
        <v>2.6639333333333335</v>
      </c>
    </row>
    <row r="108" spans="1:17" s="36" customFormat="1" ht="249.95" customHeight="1" x14ac:dyDescent="0.35">
      <c r="A108" s="10" t="s">
        <v>16</v>
      </c>
      <c r="B108" s="10" t="s">
        <v>3022</v>
      </c>
      <c r="C108" s="10" t="s">
        <v>29</v>
      </c>
      <c r="D108" s="64" t="s">
        <v>30</v>
      </c>
      <c r="E108" s="64" t="s">
        <v>359</v>
      </c>
      <c r="F108" s="64" t="s">
        <v>828</v>
      </c>
      <c r="G108" s="16" t="s">
        <v>829</v>
      </c>
      <c r="H108" s="16" t="s">
        <v>830</v>
      </c>
      <c r="I108" s="65" t="s">
        <v>3046</v>
      </c>
      <c r="J108" s="16" t="s">
        <v>831</v>
      </c>
      <c r="K108" s="16" t="s">
        <v>783</v>
      </c>
      <c r="L108" s="10" t="s">
        <v>832</v>
      </c>
      <c r="M108" s="10" t="s">
        <v>833</v>
      </c>
      <c r="N108" s="10" t="s">
        <v>2892</v>
      </c>
      <c r="O108" s="10" t="s">
        <v>2971</v>
      </c>
      <c r="P108" s="33">
        <f>2284/400</f>
        <v>5.71</v>
      </c>
      <c r="Q108" s="68">
        <f>6236/1200</f>
        <v>5.1966666666666663</v>
      </c>
    </row>
    <row r="109" spans="1:17" s="20" customFormat="1" ht="249.95" customHeight="1" x14ac:dyDescent="0.35">
      <c r="A109" s="10" t="s">
        <v>16</v>
      </c>
      <c r="B109" s="10" t="s">
        <v>3022</v>
      </c>
      <c r="C109" s="10" t="s">
        <v>29</v>
      </c>
      <c r="D109" s="64" t="s">
        <v>30</v>
      </c>
      <c r="E109" s="64" t="s">
        <v>834</v>
      </c>
      <c r="F109" s="64" t="s">
        <v>834</v>
      </c>
      <c r="G109" s="16" t="s">
        <v>835</v>
      </c>
      <c r="H109" s="16" t="s">
        <v>836</v>
      </c>
      <c r="I109" s="65" t="s">
        <v>3046</v>
      </c>
      <c r="J109" s="16" t="s">
        <v>837</v>
      </c>
      <c r="K109" s="16" t="s">
        <v>783</v>
      </c>
      <c r="L109" s="10" t="s">
        <v>834</v>
      </c>
      <c r="M109" s="10" t="s">
        <v>838</v>
      </c>
      <c r="N109" s="10" t="s">
        <v>839</v>
      </c>
      <c r="O109" s="10" t="s">
        <v>838</v>
      </c>
      <c r="P109" s="33">
        <f>5/5</f>
        <v>1</v>
      </c>
      <c r="Q109" s="68">
        <f>5/5</f>
        <v>1</v>
      </c>
    </row>
    <row r="110" spans="1:17" s="36" customFormat="1" ht="249.95" customHeight="1" x14ac:dyDescent="0.35">
      <c r="A110" s="10" t="s">
        <v>16</v>
      </c>
      <c r="B110" s="10" t="s">
        <v>3022</v>
      </c>
      <c r="C110" s="10" t="s">
        <v>17</v>
      </c>
      <c r="D110" s="64">
        <v>800</v>
      </c>
      <c r="E110" s="64" t="s">
        <v>840</v>
      </c>
      <c r="F110" s="64" t="s">
        <v>841</v>
      </c>
      <c r="G110" s="16" t="s">
        <v>842</v>
      </c>
      <c r="H110" s="16" t="s">
        <v>843</v>
      </c>
      <c r="I110" s="65" t="s">
        <v>3046</v>
      </c>
      <c r="J110" s="16" t="s">
        <v>844</v>
      </c>
      <c r="K110" s="16" t="s">
        <v>593</v>
      </c>
      <c r="L110" s="10" t="s">
        <v>845</v>
      </c>
      <c r="M110" s="10" t="s">
        <v>846</v>
      </c>
      <c r="N110" s="10" t="s">
        <v>2893</v>
      </c>
      <c r="O110" s="10" t="s">
        <v>2972</v>
      </c>
      <c r="P110" s="33">
        <f>26975/3200</f>
        <v>8.4296875</v>
      </c>
      <c r="Q110" s="68">
        <f>50854/9600</f>
        <v>5.2972916666666663</v>
      </c>
    </row>
    <row r="111" spans="1:17" s="20" customFormat="1" ht="249.95" customHeight="1" x14ac:dyDescent="0.35">
      <c r="A111" s="10" t="s">
        <v>16</v>
      </c>
      <c r="B111" s="10" t="s">
        <v>3022</v>
      </c>
      <c r="C111" s="10" t="s">
        <v>17</v>
      </c>
      <c r="D111" s="64" t="s">
        <v>170</v>
      </c>
      <c r="E111" s="64" t="s">
        <v>171</v>
      </c>
      <c r="F111" s="64" t="s">
        <v>172</v>
      </c>
      <c r="G111" s="16" t="s">
        <v>847</v>
      </c>
      <c r="H111" s="16" t="s">
        <v>848</v>
      </c>
      <c r="I111" s="65" t="s">
        <v>3046</v>
      </c>
      <c r="J111" s="16" t="s">
        <v>849</v>
      </c>
      <c r="K111" s="16" t="s">
        <v>593</v>
      </c>
      <c r="L111" s="10" t="s">
        <v>171</v>
      </c>
      <c r="M111" s="10" t="s">
        <v>850</v>
      </c>
      <c r="N111" s="10" t="s">
        <v>2894</v>
      </c>
      <c r="O111" s="10" t="s">
        <v>2973</v>
      </c>
      <c r="P111" s="24">
        <f>7/12</f>
        <v>0.58333333333333337</v>
      </c>
      <c r="Q111" s="68">
        <f>55/36</f>
        <v>1.5277777777777777</v>
      </c>
    </row>
    <row r="112" spans="1:17" s="36" customFormat="1" ht="249.95" customHeight="1" x14ac:dyDescent="0.35">
      <c r="A112" s="10" t="s">
        <v>16</v>
      </c>
      <c r="B112" s="10" t="s">
        <v>3022</v>
      </c>
      <c r="C112" s="10" t="s">
        <v>17</v>
      </c>
      <c r="D112" s="64" t="s">
        <v>851</v>
      </c>
      <c r="E112" s="64" t="s">
        <v>852</v>
      </c>
      <c r="F112" s="64" t="s">
        <v>853</v>
      </c>
      <c r="G112" s="16" t="s">
        <v>854</v>
      </c>
      <c r="H112" s="16" t="s">
        <v>855</v>
      </c>
      <c r="I112" s="65" t="s">
        <v>3046</v>
      </c>
      <c r="J112" s="16" t="s">
        <v>844</v>
      </c>
      <c r="K112" s="16" t="s">
        <v>593</v>
      </c>
      <c r="L112" s="10" t="s">
        <v>856</v>
      </c>
      <c r="M112" s="10" t="s">
        <v>857</v>
      </c>
      <c r="N112" s="10" t="s">
        <v>2895</v>
      </c>
      <c r="O112" s="10" t="s">
        <v>2974</v>
      </c>
      <c r="P112" s="33">
        <f>4831/500</f>
        <v>9.6620000000000008</v>
      </c>
      <c r="Q112" s="68">
        <f>8667/1500</f>
        <v>5.7779999999999996</v>
      </c>
    </row>
    <row r="113" spans="1:17" s="20" customFormat="1" ht="249.95" customHeight="1" x14ac:dyDescent="0.35">
      <c r="A113" s="10" t="s">
        <v>16</v>
      </c>
      <c r="B113" s="10" t="s">
        <v>3022</v>
      </c>
      <c r="C113" s="10" t="s">
        <v>29</v>
      </c>
      <c r="D113" s="16" t="s">
        <v>30</v>
      </c>
      <c r="E113" s="16" t="s">
        <v>858</v>
      </c>
      <c r="F113" s="16" t="s">
        <v>859</v>
      </c>
      <c r="G113" s="16" t="s">
        <v>860</v>
      </c>
      <c r="H113" s="16" t="s">
        <v>861</v>
      </c>
      <c r="I113" s="152" t="s">
        <v>3046</v>
      </c>
      <c r="J113" s="16" t="s">
        <v>862</v>
      </c>
      <c r="K113" s="16" t="s">
        <v>783</v>
      </c>
      <c r="L113" s="26" t="s">
        <v>858</v>
      </c>
      <c r="M113" s="26" t="s">
        <v>863</v>
      </c>
      <c r="N113" s="26" t="s">
        <v>858</v>
      </c>
      <c r="O113" s="26" t="s">
        <v>877</v>
      </c>
      <c r="P113" s="35">
        <f>0/1</f>
        <v>0</v>
      </c>
      <c r="Q113" s="53">
        <f>2/3</f>
        <v>0.66666666666666663</v>
      </c>
    </row>
    <row r="114" spans="1:17" s="36" customFormat="1" ht="249.95" customHeight="1" x14ac:dyDescent="0.35">
      <c r="A114" s="10" t="s">
        <v>16</v>
      </c>
      <c r="B114" s="10" t="s">
        <v>3022</v>
      </c>
      <c r="C114" s="10" t="s">
        <v>17</v>
      </c>
      <c r="D114" s="16" t="s">
        <v>864</v>
      </c>
      <c r="E114" s="16" t="s">
        <v>865</v>
      </c>
      <c r="F114" s="16" t="s">
        <v>866</v>
      </c>
      <c r="G114" s="16" t="s">
        <v>867</v>
      </c>
      <c r="H114" s="16" t="s">
        <v>868</v>
      </c>
      <c r="I114" s="65" t="s">
        <v>3046</v>
      </c>
      <c r="J114" s="16" t="s">
        <v>869</v>
      </c>
      <c r="K114" s="16" t="s">
        <v>783</v>
      </c>
      <c r="L114" s="10" t="s">
        <v>870</v>
      </c>
      <c r="M114" s="10" t="s">
        <v>871</v>
      </c>
      <c r="N114" s="10" t="s">
        <v>2896</v>
      </c>
      <c r="O114" s="10" t="s">
        <v>2975</v>
      </c>
      <c r="P114" s="33">
        <f>3649/1800</f>
        <v>2.027222222222222</v>
      </c>
      <c r="Q114" s="68">
        <f>11243/5400</f>
        <v>2.0820370370370371</v>
      </c>
    </row>
    <row r="115" spans="1:17" s="20" customFormat="1" ht="249.95" customHeight="1" x14ac:dyDescent="0.35">
      <c r="A115" s="10" t="s">
        <v>16</v>
      </c>
      <c r="B115" s="10" t="s">
        <v>3022</v>
      </c>
      <c r="C115" s="10" t="s">
        <v>29</v>
      </c>
      <c r="D115" s="10" t="s">
        <v>30</v>
      </c>
      <c r="E115" s="16" t="s">
        <v>858</v>
      </c>
      <c r="F115" s="16" t="s">
        <v>859</v>
      </c>
      <c r="G115" s="16" t="s">
        <v>872</v>
      </c>
      <c r="H115" s="16" t="s">
        <v>873</v>
      </c>
      <c r="I115" s="152" t="s">
        <v>3046</v>
      </c>
      <c r="J115" s="16" t="s">
        <v>874</v>
      </c>
      <c r="K115" s="16" t="s">
        <v>783</v>
      </c>
      <c r="L115" s="10" t="s">
        <v>875</v>
      </c>
      <c r="M115" s="10" t="s">
        <v>876</v>
      </c>
      <c r="N115" s="27" t="s">
        <v>877</v>
      </c>
      <c r="O115" s="10" t="s">
        <v>878</v>
      </c>
      <c r="P115" s="33">
        <f>2/1</f>
        <v>2</v>
      </c>
      <c r="Q115" s="68">
        <f>6/3</f>
        <v>2</v>
      </c>
    </row>
    <row r="116" spans="1:17" s="20" customFormat="1" ht="249.95" customHeight="1" x14ac:dyDescent="0.35">
      <c r="A116" s="10" t="s">
        <v>16</v>
      </c>
      <c r="B116" s="10" t="s">
        <v>3022</v>
      </c>
      <c r="C116" s="10" t="s">
        <v>29</v>
      </c>
      <c r="D116" s="10" t="s">
        <v>30</v>
      </c>
      <c r="E116" s="16" t="s">
        <v>858</v>
      </c>
      <c r="F116" s="16" t="s">
        <v>859</v>
      </c>
      <c r="G116" s="16" t="s">
        <v>879</v>
      </c>
      <c r="H116" s="16" t="s">
        <v>880</v>
      </c>
      <c r="I116" s="152" t="s">
        <v>3046</v>
      </c>
      <c r="J116" s="16" t="s">
        <v>881</v>
      </c>
      <c r="K116" s="16" t="s">
        <v>783</v>
      </c>
      <c r="L116" s="10" t="s">
        <v>882</v>
      </c>
      <c r="M116" s="10" t="s">
        <v>863</v>
      </c>
      <c r="N116" s="10" t="s">
        <v>858</v>
      </c>
      <c r="O116" s="10" t="s">
        <v>883</v>
      </c>
      <c r="P116" s="33">
        <f>1/1</f>
        <v>1</v>
      </c>
      <c r="Q116" s="68">
        <f>3/3</f>
        <v>1</v>
      </c>
    </row>
    <row r="117" spans="1:17" s="20" customFormat="1" ht="249.95" customHeight="1" x14ac:dyDescent="0.35">
      <c r="A117" s="10" t="s">
        <v>16</v>
      </c>
      <c r="B117" s="10" t="s">
        <v>3022</v>
      </c>
      <c r="C117" s="10" t="s">
        <v>29</v>
      </c>
      <c r="D117" s="10" t="s">
        <v>30</v>
      </c>
      <c r="E117" s="16" t="s">
        <v>884</v>
      </c>
      <c r="F117" s="16" t="s">
        <v>884</v>
      </c>
      <c r="G117" s="16" t="s">
        <v>885</v>
      </c>
      <c r="H117" s="16" t="s">
        <v>886</v>
      </c>
      <c r="I117" s="152" t="s">
        <v>3047</v>
      </c>
      <c r="J117" s="16" t="s">
        <v>887</v>
      </c>
      <c r="K117" s="16" t="s">
        <v>783</v>
      </c>
      <c r="L117" s="10" t="s">
        <v>888</v>
      </c>
      <c r="M117" s="10" t="s">
        <v>889</v>
      </c>
      <c r="N117" s="10" t="s">
        <v>890</v>
      </c>
      <c r="O117" s="10" t="s">
        <v>890</v>
      </c>
      <c r="P117" s="33">
        <f>51/50</f>
        <v>1.02</v>
      </c>
      <c r="Q117" s="68">
        <f>51/50</f>
        <v>1.02</v>
      </c>
    </row>
    <row r="118" spans="1:17" s="20" customFormat="1" ht="249.95" customHeight="1" x14ac:dyDescent="0.35">
      <c r="A118" s="10" t="s">
        <v>16</v>
      </c>
      <c r="B118" s="10" t="s">
        <v>3022</v>
      </c>
      <c r="C118" s="10" t="s">
        <v>29</v>
      </c>
      <c r="D118" s="16" t="s">
        <v>30</v>
      </c>
      <c r="E118" s="16" t="s">
        <v>891</v>
      </c>
      <c r="F118" s="16" t="s">
        <v>892</v>
      </c>
      <c r="G118" s="16" t="s">
        <v>893</v>
      </c>
      <c r="H118" s="16" t="s">
        <v>894</v>
      </c>
      <c r="I118" s="152" t="s">
        <v>3046</v>
      </c>
      <c r="J118" s="16" t="s">
        <v>895</v>
      </c>
      <c r="K118" s="16" t="s">
        <v>783</v>
      </c>
      <c r="L118" s="69" t="s">
        <v>896</v>
      </c>
      <c r="M118" s="69" t="s">
        <v>897</v>
      </c>
      <c r="N118" s="69" t="s">
        <v>2897</v>
      </c>
      <c r="O118" s="69" t="s">
        <v>2976</v>
      </c>
      <c r="P118" s="24">
        <f>27/3</f>
        <v>9</v>
      </c>
      <c r="Q118" s="68">
        <f>45/9</f>
        <v>5</v>
      </c>
    </row>
    <row r="119" spans="1:17" s="20" customFormat="1" ht="249.95" customHeight="1" x14ac:dyDescent="0.35">
      <c r="A119" s="10" t="s">
        <v>16</v>
      </c>
      <c r="B119" s="10" t="s">
        <v>3022</v>
      </c>
      <c r="C119" s="10" t="s">
        <v>17</v>
      </c>
      <c r="D119" s="16" t="s">
        <v>899</v>
      </c>
      <c r="E119" s="16" t="s">
        <v>900</v>
      </c>
      <c r="F119" s="16" t="s">
        <v>901</v>
      </c>
      <c r="G119" s="16" t="s">
        <v>902</v>
      </c>
      <c r="H119" s="16" t="s">
        <v>903</v>
      </c>
      <c r="I119" s="152" t="s">
        <v>3046</v>
      </c>
      <c r="J119" s="16" t="s">
        <v>904</v>
      </c>
      <c r="K119" s="16" t="s">
        <v>783</v>
      </c>
      <c r="L119" s="10" t="s">
        <v>905</v>
      </c>
      <c r="M119" s="10" t="s">
        <v>906</v>
      </c>
      <c r="N119" s="70" t="s">
        <v>2898</v>
      </c>
      <c r="O119" s="10" t="s">
        <v>2977</v>
      </c>
      <c r="P119" s="61">
        <f>5/10</f>
        <v>0.5</v>
      </c>
      <c r="Q119" s="68">
        <f>29/30</f>
        <v>0.96666666666666667</v>
      </c>
    </row>
    <row r="120" spans="1:17" s="20" customFormat="1" ht="249.95" customHeight="1" x14ac:dyDescent="0.35">
      <c r="A120" s="10" t="s">
        <v>16</v>
      </c>
      <c r="B120" s="10" t="s">
        <v>3022</v>
      </c>
      <c r="C120" s="10" t="s">
        <v>29</v>
      </c>
      <c r="D120" s="10" t="s">
        <v>30</v>
      </c>
      <c r="E120" s="16" t="s">
        <v>907</v>
      </c>
      <c r="F120" s="16" t="s">
        <v>908</v>
      </c>
      <c r="G120" s="16" t="s">
        <v>909</v>
      </c>
      <c r="H120" s="16" t="s">
        <v>910</v>
      </c>
      <c r="I120" s="152" t="s">
        <v>3046</v>
      </c>
      <c r="J120" s="16" t="s">
        <v>911</v>
      </c>
      <c r="K120" s="16" t="s">
        <v>783</v>
      </c>
      <c r="L120" s="10" t="s">
        <v>912</v>
      </c>
      <c r="M120" s="10" t="s">
        <v>912</v>
      </c>
      <c r="N120" s="10" t="s">
        <v>2899</v>
      </c>
      <c r="O120" s="10" t="s">
        <v>2899</v>
      </c>
      <c r="P120" s="33">
        <f>2/1</f>
        <v>2</v>
      </c>
      <c r="Q120" s="53">
        <f>2/3</f>
        <v>0.66666666666666663</v>
      </c>
    </row>
    <row r="121" spans="1:17" s="20" customFormat="1" ht="249.95" customHeight="1" x14ac:dyDescent="0.35">
      <c r="A121" s="10" t="s">
        <v>16</v>
      </c>
      <c r="B121" s="10" t="s">
        <v>3023</v>
      </c>
      <c r="C121" s="10" t="s">
        <v>17</v>
      </c>
      <c r="D121" s="16" t="s">
        <v>178</v>
      </c>
      <c r="E121" s="16" t="s">
        <v>913</v>
      </c>
      <c r="F121" s="16" t="s">
        <v>914</v>
      </c>
      <c r="G121" s="16" t="s">
        <v>915</v>
      </c>
      <c r="H121" s="16" t="s">
        <v>916</v>
      </c>
      <c r="I121" s="152" t="s">
        <v>3046</v>
      </c>
      <c r="J121" s="16" t="s">
        <v>917</v>
      </c>
      <c r="K121" s="16" t="s">
        <v>783</v>
      </c>
      <c r="L121" s="10" t="s">
        <v>918</v>
      </c>
      <c r="M121" s="10" t="s">
        <v>919</v>
      </c>
      <c r="N121" s="10" t="s">
        <v>2900</v>
      </c>
      <c r="O121" s="10" t="s">
        <v>2978</v>
      </c>
      <c r="P121" s="24">
        <f>13/16</f>
        <v>0.8125</v>
      </c>
      <c r="Q121" s="68">
        <f>43/48</f>
        <v>0.89583333333333337</v>
      </c>
    </row>
    <row r="122" spans="1:17" s="20" customFormat="1" ht="249.95" customHeight="1" x14ac:dyDescent="0.35">
      <c r="A122" s="10" t="s">
        <v>16</v>
      </c>
      <c r="B122" s="10" t="s">
        <v>3023</v>
      </c>
      <c r="C122" s="10" t="s">
        <v>29</v>
      </c>
      <c r="D122" s="10" t="s">
        <v>30</v>
      </c>
      <c r="E122" s="16" t="s">
        <v>920</v>
      </c>
      <c r="F122" s="16" t="s">
        <v>921</v>
      </c>
      <c r="G122" s="16" t="s">
        <v>922</v>
      </c>
      <c r="H122" s="16" t="s">
        <v>923</v>
      </c>
      <c r="I122" s="152" t="s">
        <v>3046</v>
      </c>
      <c r="J122" s="16" t="s">
        <v>924</v>
      </c>
      <c r="K122" s="16" t="s">
        <v>783</v>
      </c>
      <c r="L122" s="10" t="s">
        <v>925</v>
      </c>
      <c r="M122" s="10" t="s">
        <v>926</v>
      </c>
      <c r="N122" s="10" t="s">
        <v>927</v>
      </c>
      <c r="O122" s="10" t="s">
        <v>928</v>
      </c>
      <c r="P122" s="33">
        <f>8/4</f>
        <v>2</v>
      </c>
      <c r="Q122" s="68">
        <f>23/12</f>
        <v>1.9166666666666667</v>
      </c>
    </row>
    <row r="123" spans="1:17" s="20" customFormat="1" ht="249.95" customHeight="1" x14ac:dyDescent="0.35">
      <c r="A123" s="10" t="s">
        <v>16</v>
      </c>
      <c r="B123" s="10" t="s">
        <v>3023</v>
      </c>
      <c r="C123" s="10" t="s">
        <v>17</v>
      </c>
      <c r="D123" s="10" t="s">
        <v>929</v>
      </c>
      <c r="E123" s="16" t="s">
        <v>930</v>
      </c>
      <c r="F123" s="16" t="s">
        <v>931</v>
      </c>
      <c r="G123" s="16" t="s">
        <v>932</v>
      </c>
      <c r="H123" s="16" t="s">
        <v>933</v>
      </c>
      <c r="I123" s="65" t="s">
        <v>3046</v>
      </c>
      <c r="J123" s="16" t="s">
        <v>934</v>
      </c>
      <c r="K123" s="16" t="s">
        <v>783</v>
      </c>
      <c r="L123" s="10" t="s">
        <v>930</v>
      </c>
      <c r="M123" s="10" t="s">
        <v>936</v>
      </c>
      <c r="N123" s="10" t="s">
        <v>935</v>
      </c>
      <c r="O123" s="10" t="s">
        <v>937</v>
      </c>
      <c r="P123" s="35">
        <f>1/4</f>
        <v>0.25</v>
      </c>
      <c r="Q123" s="53">
        <f>7/12</f>
        <v>0.58333333333333337</v>
      </c>
    </row>
    <row r="124" spans="1:17" s="20" customFormat="1" ht="249.95" customHeight="1" x14ac:dyDescent="0.35">
      <c r="A124" s="10" t="s">
        <v>16</v>
      </c>
      <c r="B124" s="10" t="s">
        <v>3023</v>
      </c>
      <c r="C124" s="10" t="s">
        <v>29</v>
      </c>
      <c r="D124" s="10" t="s">
        <v>30</v>
      </c>
      <c r="E124" s="16" t="s">
        <v>938</v>
      </c>
      <c r="F124" s="16" t="s">
        <v>939</v>
      </c>
      <c r="G124" s="16" t="s">
        <v>940</v>
      </c>
      <c r="H124" s="16" t="s">
        <v>941</v>
      </c>
      <c r="I124" s="152" t="s">
        <v>3046</v>
      </c>
      <c r="J124" s="16" t="s">
        <v>942</v>
      </c>
      <c r="K124" s="16" t="s">
        <v>783</v>
      </c>
      <c r="L124" s="10" t="s">
        <v>943</v>
      </c>
      <c r="M124" s="10" t="s">
        <v>944</v>
      </c>
      <c r="N124" s="10" t="s">
        <v>399</v>
      </c>
      <c r="O124" s="10" t="s">
        <v>945</v>
      </c>
      <c r="P124" s="33">
        <f>3/1</f>
        <v>3</v>
      </c>
      <c r="Q124" s="68">
        <f>5/3</f>
        <v>1.6666666666666667</v>
      </c>
    </row>
    <row r="125" spans="1:17" s="20" customFormat="1" ht="249.95" customHeight="1" x14ac:dyDescent="0.35">
      <c r="A125" s="10" t="s">
        <v>16</v>
      </c>
      <c r="B125" s="10" t="s">
        <v>3023</v>
      </c>
      <c r="C125" s="10" t="s">
        <v>29</v>
      </c>
      <c r="D125" s="10" t="s">
        <v>30</v>
      </c>
      <c r="E125" s="10" t="s">
        <v>416</v>
      </c>
      <c r="F125" s="10" t="s">
        <v>946</v>
      </c>
      <c r="G125" s="10" t="s">
        <v>947</v>
      </c>
      <c r="H125" s="10" t="s">
        <v>948</v>
      </c>
      <c r="I125" s="152" t="s">
        <v>3046</v>
      </c>
      <c r="J125" s="10" t="s">
        <v>949</v>
      </c>
      <c r="K125" s="10" t="s">
        <v>45</v>
      </c>
      <c r="L125" s="10" t="s">
        <v>950</v>
      </c>
      <c r="M125" s="10" t="s">
        <v>415</v>
      </c>
      <c r="N125" s="118"/>
      <c r="O125" s="10" t="s">
        <v>951</v>
      </c>
      <c r="P125" s="123"/>
      <c r="Q125" s="124"/>
    </row>
    <row r="126" spans="1:17" s="20" customFormat="1" ht="249.95" customHeight="1" x14ac:dyDescent="0.35">
      <c r="A126" s="10" t="s">
        <v>16</v>
      </c>
      <c r="B126" s="10" t="s">
        <v>3023</v>
      </c>
      <c r="C126" s="10" t="s">
        <v>29</v>
      </c>
      <c r="D126" s="10" t="s">
        <v>30</v>
      </c>
      <c r="E126" s="10" t="s">
        <v>952</v>
      </c>
      <c r="F126" s="10" t="s">
        <v>952</v>
      </c>
      <c r="G126" s="10" t="s">
        <v>953</v>
      </c>
      <c r="H126" s="10" t="s">
        <v>954</v>
      </c>
      <c r="I126" s="152" t="s">
        <v>3046</v>
      </c>
      <c r="J126" s="10" t="s">
        <v>955</v>
      </c>
      <c r="K126" s="10" t="s">
        <v>45</v>
      </c>
      <c r="L126" s="10" t="s">
        <v>956</v>
      </c>
      <c r="M126" s="10" t="s">
        <v>957</v>
      </c>
      <c r="N126" s="118"/>
      <c r="O126" s="10" t="s">
        <v>958</v>
      </c>
      <c r="P126" s="123"/>
      <c r="Q126" s="124"/>
    </row>
    <row r="127" spans="1:17" s="20" customFormat="1" ht="249.95" customHeight="1" x14ac:dyDescent="0.35">
      <c r="A127" s="10" t="s">
        <v>16</v>
      </c>
      <c r="B127" s="10" t="s">
        <v>3023</v>
      </c>
      <c r="C127" s="10" t="s">
        <v>17</v>
      </c>
      <c r="D127" s="64" t="s">
        <v>960</v>
      </c>
      <c r="E127" s="64" t="s">
        <v>961</v>
      </c>
      <c r="F127" s="64" t="s">
        <v>962</v>
      </c>
      <c r="G127" s="16" t="s">
        <v>963</v>
      </c>
      <c r="H127" s="16" t="s">
        <v>964</v>
      </c>
      <c r="I127" s="152" t="s">
        <v>3046</v>
      </c>
      <c r="J127" s="16" t="s">
        <v>965</v>
      </c>
      <c r="K127" s="16" t="s">
        <v>959</v>
      </c>
      <c r="L127" s="10" t="s">
        <v>966</v>
      </c>
      <c r="M127" s="10" t="s">
        <v>967</v>
      </c>
      <c r="N127" s="10" t="s">
        <v>2901</v>
      </c>
      <c r="O127" s="10" t="s">
        <v>2979</v>
      </c>
      <c r="P127" s="33">
        <f>587/240</f>
        <v>2.4458333333333333</v>
      </c>
      <c r="Q127" s="25">
        <f>1054/720</f>
        <v>1.4638888888888888</v>
      </c>
    </row>
    <row r="128" spans="1:17" s="20" customFormat="1" ht="249.95" customHeight="1" x14ac:dyDescent="0.35">
      <c r="A128" s="10" t="s">
        <v>16</v>
      </c>
      <c r="B128" s="10" t="s">
        <v>3024</v>
      </c>
      <c r="C128" s="10" t="s">
        <v>17</v>
      </c>
      <c r="D128" s="16" t="s">
        <v>969</v>
      </c>
      <c r="E128" s="16" t="s">
        <v>970</v>
      </c>
      <c r="F128" s="16" t="s">
        <v>971</v>
      </c>
      <c r="G128" s="16" t="s">
        <v>972</v>
      </c>
      <c r="H128" s="16" t="s">
        <v>973</v>
      </c>
      <c r="I128" s="152" t="s">
        <v>3046</v>
      </c>
      <c r="J128" s="16" t="s">
        <v>974</v>
      </c>
      <c r="K128" s="16" t="s">
        <v>968</v>
      </c>
      <c r="L128" s="10" t="s">
        <v>975</v>
      </c>
      <c r="M128" s="10" t="s">
        <v>976</v>
      </c>
      <c r="N128" s="10" t="s">
        <v>977</v>
      </c>
      <c r="O128" s="10" t="s">
        <v>978</v>
      </c>
      <c r="P128" s="35">
        <f>5/12</f>
        <v>0.41666666666666669</v>
      </c>
      <c r="Q128" s="25">
        <f>74/36</f>
        <v>2.0555555555555554</v>
      </c>
    </row>
    <row r="129" spans="1:17" s="20" customFormat="1" ht="249.95" customHeight="1" x14ac:dyDescent="0.35">
      <c r="A129" s="10" t="s">
        <v>16</v>
      </c>
      <c r="B129" s="10" t="s">
        <v>3024</v>
      </c>
      <c r="C129" s="10" t="s">
        <v>17</v>
      </c>
      <c r="D129" s="16" t="s">
        <v>979</v>
      </c>
      <c r="E129" s="16" t="s">
        <v>980</v>
      </c>
      <c r="F129" s="16" t="s">
        <v>981</v>
      </c>
      <c r="G129" s="16" t="s">
        <v>982</v>
      </c>
      <c r="H129" s="16" t="s">
        <v>983</v>
      </c>
      <c r="I129" s="152" t="s">
        <v>3046</v>
      </c>
      <c r="J129" s="16" t="s">
        <v>984</v>
      </c>
      <c r="K129" s="16" t="s">
        <v>968</v>
      </c>
      <c r="L129" s="10" t="s">
        <v>985</v>
      </c>
      <c r="M129" s="10" t="s">
        <v>986</v>
      </c>
      <c r="N129" s="10" t="s">
        <v>2902</v>
      </c>
      <c r="O129" s="10" t="s">
        <v>2980</v>
      </c>
      <c r="P129" s="50">
        <f>6/8</f>
        <v>0.75</v>
      </c>
      <c r="Q129" s="41">
        <f>36/24</f>
        <v>1.5</v>
      </c>
    </row>
    <row r="130" spans="1:17" s="20" customFormat="1" ht="249.95" customHeight="1" x14ac:dyDescent="0.35">
      <c r="A130" s="10" t="s">
        <v>16</v>
      </c>
      <c r="B130" s="10" t="s">
        <v>3024</v>
      </c>
      <c r="C130" s="10" t="s">
        <v>17</v>
      </c>
      <c r="D130" s="16" t="s">
        <v>987</v>
      </c>
      <c r="E130" s="16" t="s">
        <v>988</v>
      </c>
      <c r="F130" s="16" t="s">
        <v>989</v>
      </c>
      <c r="G130" s="16" t="s">
        <v>990</v>
      </c>
      <c r="H130" s="16" t="s">
        <v>991</v>
      </c>
      <c r="I130" s="152" t="s">
        <v>3046</v>
      </c>
      <c r="J130" s="16" t="s">
        <v>992</v>
      </c>
      <c r="K130" s="16" t="s">
        <v>968</v>
      </c>
      <c r="L130" s="10" t="s">
        <v>993</v>
      </c>
      <c r="M130" s="10" t="s">
        <v>994</v>
      </c>
      <c r="N130" s="10" t="s">
        <v>2903</v>
      </c>
      <c r="O130" s="10" t="s">
        <v>2981</v>
      </c>
      <c r="P130" s="50">
        <f>5/8</f>
        <v>0.625</v>
      </c>
      <c r="Q130" s="41">
        <f>20/24</f>
        <v>0.83333333333333337</v>
      </c>
    </row>
    <row r="131" spans="1:17" s="20" customFormat="1" ht="249.95" customHeight="1" x14ac:dyDescent="0.35">
      <c r="A131" s="10" t="s">
        <v>16</v>
      </c>
      <c r="B131" s="10" t="s">
        <v>3024</v>
      </c>
      <c r="C131" s="10" t="s">
        <v>17</v>
      </c>
      <c r="D131" s="16" t="s">
        <v>929</v>
      </c>
      <c r="E131" s="16" t="s">
        <v>930</v>
      </c>
      <c r="F131" s="16" t="s">
        <v>931</v>
      </c>
      <c r="G131" s="16" t="s">
        <v>995</v>
      </c>
      <c r="H131" s="16" t="s">
        <v>996</v>
      </c>
      <c r="I131" s="152" t="s">
        <v>3046</v>
      </c>
      <c r="J131" s="16" t="s">
        <v>997</v>
      </c>
      <c r="K131" s="16" t="s">
        <v>968</v>
      </c>
      <c r="L131" s="10" t="s">
        <v>998</v>
      </c>
      <c r="M131" s="10" t="s">
        <v>999</v>
      </c>
      <c r="N131" s="10" t="s">
        <v>999</v>
      </c>
      <c r="O131" s="10" t="s">
        <v>999</v>
      </c>
      <c r="P131" s="35">
        <f>0/4</f>
        <v>0</v>
      </c>
      <c r="Q131" s="43">
        <f>0/12</f>
        <v>0</v>
      </c>
    </row>
    <row r="132" spans="1:17" s="20" customFormat="1" ht="249.95" customHeight="1" x14ac:dyDescent="0.35">
      <c r="A132" s="10" t="s">
        <v>16</v>
      </c>
      <c r="B132" s="10" t="s">
        <v>3024</v>
      </c>
      <c r="C132" s="10" t="s">
        <v>17</v>
      </c>
      <c r="D132" s="16" t="s">
        <v>1000</v>
      </c>
      <c r="E132" s="16" t="s">
        <v>1001</v>
      </c>
      <c r="F132" s="16" t="s">
        <v>1002</v>
      </c>
      <c r="G132" s="16" t="s">
        <v>1003</v>
      </c>
      <c r="H132" s="16" t="s">
        <v>1004</v>
      </c>
      <c r="I132" s="152" t="s">
        <v>3046</v>
      </c>
      <c r="J132" s="16" t="s">
        <v>1005</v>
      </c>
      <c r="K132" s="16" t="s">
        <v>968</v>
      </c>
      <c r="L132" s="10" t="s">
        <v>1006</v>
      </c>
      <c r="M132" s="10" t="s">
        <v>1007</v>
      </c>
      <c r="N132" s="10" t="s">
        <v>2904</v>
      </c>
      <c r="O132" s="10" t="s">
        <v>2982</v>
      </c>
      <c r="P132" s="40">
        <f>24/360</f>
        <v>6.6666666666666666E-2</v>
      </c>
      <c r="Q132" s="41">
        <f>1258/1080</f>
        <v>1.1648148148148147</v>
      </c>
    </row>
    <row r="133" spans="1:17" s="20" customFormat="1" ht="249.95" customHeight="1" x14ac:dyDescent="0.35">
      <c r="A133" s="10" t="s">
        <v>16</v>
      </c>
      <c r="B133" s="10" t="s">
        <v>3024</v>
      </c>
      <c r="C133" s="10" t="s">
        <v>29</v>
      </c>
      <c r="D133" s="10" t="s">
        <v>30</v>
      </c>
      <c r="E133" s="16" t="s">
        <v>1008</v>
      </c>
      <c r="F133" s="16" t="s">
        <v>1009</v>
      </c>
      <c r="G133" s="16" t="s">
        <v>1010</v>
      </c>
      <c r="H133" s="16" t="s">
        <v>1011</v>
      </c>
      <c r="I133" s="152" t="s">
        <v>3046</v>
      </c>
      <c r="J133" s="16" t="s">
        <v>1012</v>
      </c>
      <c r="K133" s="16" t="s">
        <v>968</v>
      </c>
      <c r="L133" s="10" t="s">
        <v>1013</v>
      </c>
      <c r="M133" s="10">
        <v>3</v>
      </c>
      <c r="N133" s="10" t="s">
        <v>1014</v>
      </c>
      <c r="O133" s="10" t="s">
        <v>1015</v>
      </c>
      <c r="P133" s="51">
        <f>2/1</f>
        <v>2</v>
      </c>
      <c r="Q133" s="41">
        <f>12/3</f>
        <v>4</v>
      </c>
    </row>
    <row r="134" spans="1:17" s="20" customFormat="1" ht="249.95" customHeight="1" x14ac:dyDescent="0.35">
      <c r="A134" s="10" t="s">
        <v>16</v>
      </c>
      <c r="B134" s="10" t="s">
        <v>3024</v>
      </c>
      <c r="C134" s="10" t="s">
        <v>29</v>
      </c>
      <c r="D134" s="10" t="s">
        <v>30</v>
      </c>
      <c r="E134" s="16" t="s">
        <v>1016</v>
      </c>
      <c r="F134" s="16" t="s">
        <v>1016</v>
      </c>
      <c r="G134" s="16" t="s">
        <v>1017</v>
      </c>
      <c r="H134" s="16" t="s">
        <v>1018</v>
      </c>
      <c r="I134" s="152" t="s">
        <v>3046</v>
      </c>
      <c r="J134" s="16" t="s">
        <v>1019</v>
      </c>
      <c r="K134" s="16" t="s">
        <v>968</v>
      </c>
      <c r="L134" s="10" t="s">
        <v>1020</v>
      </c>
      <c r="M134" s="10" t="s">
        <v>403</v>
      </c>
      <c r="N134" s="10" t="s">
        <v>382</v>
      </c>
      <c r="O134" s="10" t="s">
        <v>1020</v>
      </c>
      <c r="P134" s="123"/>
      <c r="Q134" s="124"/>
    </row>
    <row r="135" spans="1:17" s="20" customFormat="1" ht="249.95" customHeight="1" x14ac:dyDescent="0.35">
      <c r="A135" s="10" t="s">
        <v>16</v>
      </c>
      <c r="B135" s="10" t="s">
        <v>3024</v>
      </c>
      <c r="C135" s="10" t="s">
        <v>17</v>
      </c>
      <c r="D135" s="16" t="s">
        <v>1021</v>
      </c>
      <c r="E135" s="16" t="s">
        <v>1022</v>
      </c>
      <c r="F135" s="16" t="s">
        <v>1023</v>
      </c>
      <c r="G135" s="16" t="s">
        <v>1024</v>
      </c>
      <c r="H135" s="16" t="s">
        <v>1025</v>
      </c>
      <c r="I135" s="152" t="s">
        <v>3046</v>
      </c>
      <c r="J135" s="16" t="s">
        <v>1026</v>
      </c>
      <c r="K135" s="16" t="s">
        <v>968</v>
      </c>
      <c r="L135" s="10" t="s">
        <v>1027</v>
      </c>
      <c r="M135" s="10" t="s">
        <v>1028</v>
      </c>
      <c r="N135" s="10" t="s">
        <v>2905</v>
      </c>
      <c r="O135" s="10" t="s">
        <v>2983</v>
      </c>
      <c r="P135" s="71">
        <f>523/400</f>
        <v>1.3075000000000001</v>
      </c>
      <c r="Q135" s="41">
        <f>1222/1200</f>
        <v>1.0183333333333333</v>
      </c>
    </row>
    <row r="136" spans="1:17" s="20" customFormat="1" ht="249.95" customHeight="1" x14ac:dyDescent="0.35">
      <c r="A136" s="10" t="s">
        <v>16</v>
      </c>
      <c r="B136" s="10" t="s">
        <v>3024</v>
      </c>
      <c r="C136" s="10" t="s">
        <v>17</v>
      </c>
      <c r="D136" s="16" t="s">
        <v>414</v>
      </c>
      <c r="E136" s="16" t="s">
        <v>349</v>
      </c>
      <c r="F136" s="16" t="s">
        <v>349</v>
      </c>
      <c r="G136" s="16" t="s">
        <v>1029</v>
      </c>
      <c r="H136" s="16" t="s">
        <v>1030</v>
      </c>
      <c r="I136" s="152" t="s">
        <v>3046</v>
      </c>
      <c r="J136" s="16" t="s">
        <v>1031</v>
      </c>
      <c r="K136" s="16" t="s">
        <v>968</v>
      </c>
      <c r="L136" s="10" t="s">
        <v>1032</v>
      </c>
      <c r="M136" s="10" t="s">
        <v>1032</v>
      </c>
      <c r="N136" s="10" t="s">
        <v>1033</v>
      </c>
      <c r="O136" s="10" t="s">
        <v>1033</v>
      </c>
      <c r="P136" s="128"/>
      <c r="Q136" s="129"/>
    </row>
    <row r="137" spans="1:17" s="20" customFormat="1" ht="249.95" customHeight="1" x14ac:dyDescent="0.35">
      <c r="A137" s="10" t="s">
        <v>16</v>
      </c>
      <c r="B137" s="10" t="s">
        <v>3024</v>
      </c>
      <c r="C137" s="10" t="s">
        <v>17</v>
      </c>
      <c r="D137" s="16" t="s">
        <v>1034</v>
      </c>
      <c r="E137" s="16" t="s">
        <v>1035</v>
      </c>
      <c r="F137" s="16" t="s">
        <v>1036</v>
      </c>
      <c r="G137" s="16" t="s">
        <v>1037</v>
      </c>
      <c r="H137" s="16" t="s">
        <v>1038</v>
      </c>
      <c r="I137" s="152" t="s">
        <v>3046</v>
      </c>
      <c r="J137" s="16" t="s">
        <v>992</v>
      </c>
      <c r="K137" s="16" t="s">
        <v>968</v>
      </c>
      <c r="L137" s="10" t="s">
        <v>1039</v>
      </c>
      <c r="M137" s="10" t="s">
        <v>1040</v>
      </c>
      <c r="N137" s="10" t="s">
        <v>2906</v>
      </c>
      <c r="O137" s="10" t="s">
        <v>2984</v>
      </c>
      <c r="P137" s="50">
        <f>7/10</f>
        <v>0.7</v>
      </c>
      <c r="Q137" s="41">
        <f>30/30</f>
        <v>1</v>
      </c>
    </row>
    <row r="138" spans="1:17" s="20" customFormat="1" ht="249.95" customHeight="1" x14ac:dyDescent="0.35">
      <c r="A138" s="10" t="s">
        <v>1042</v>
      </c>
      <c r="B138" s="10" t="s">
        <v>3025</v>
      </c>
      <c r="C138" s="10" t="s">
        <v>29</v>
      </c>
      <c r="D138" s="10" t="s">
        <v>30</v>
      </c>
      <c r="E138" s="10" t="s">
        <v>1043</v>
      </c>
      <c r="F138" s="10" t="s">
        <v>1044</v>
      </c>
      <c r="G138" s="16" t="s">
        <v>1045</v>
      </c>
      <c r="H138" s="16" t="s">
        <v>1046</v>
      </c>
      <c r="I138" s="152" t="s">
        <v>3046</v>
      </c>
      <c r="J138" s="16" t="s">
        <v>1047</v>
      </c>
      <c r="K138" s="16" t="s">
        <v>1041</v>
      </c>
      <c r="L138" s="10" t="s">
        <v>1048</v>
      </c>
      <c r="M138" s="10" t="s">
        <v>1049</v>
      </c>
      <c r="N138" s="27" t="s">
        <v>1043</v>
      </c>
      <c r="O138" s="10" t="s">
        <v>1050</v>
      </c>
      <c r="P138" s="33">
        <f>5/5</f>
        <v>1</v>
      </c>
      <c r="Q138" s="25">
        <f>14/15</f>
        <v>0.93333333333333335</v>
      </c>
    </row>
    <row r="139" spans="1:17" s="20" customFormat="1" ht="249.95" customHeight="1" x14ac:dyDescent="0.35">
      <c r="A139" s="10" t="s">
        <v>1042</v>
      </c>
      <c r="B139" s="10" t="s">
        <v>3025</v>
      </c>
      <c r="C139" s="10" t="s">
        <v>29</v>
      </c>
      <c r="D139" s="10" t="s">
        <v>30</v>
      </c>
      <c r="E139" s="10" t="s">
        <v>1051</v>
      </c>
      <c r="F139" s="10" t="s">
        <v>1051</v>
      </c>
      <c r="G139" s="16" t="s">
        <v>1052</v>
      </c>
      <c r="H139" s="16" t="s">
        <v>1053</v>
      </c>
      <c r="I139" s="152" t="s">
        <v>3046</v>
      </c>
      <c r="J139" s="16" t="s">
        <v>1054</v>
      </c>
      <c r="K139" s="16" t="s">
        <v>1041</v>
      </c>
      <c r="L139" s="10" t="s">
        <v>1055</v>
      </c>
      <c r="M139" s="10" t="s">
        <v>403</v>
      </c>
      <c r="N139" s="118"/>
      <c r="O139" s="10" t="s">
        <v>1056</v>
      </c>
      <c r="P139" s="123"/>
      <c r="Q139" s="124"/>
    </row>
    <row r="140" spans="1:17" s="20" customFormat="1" ht="249.95" customHeight="1" x14ac:dyDescent="0.35">
      <c r="A140" s="10" t="s">
        <v>1042</v>
      </c>
      <c r="B140" s="10" t="s">
        <v>3025</v>
      </c>
      <c r="C140" s="10" t="s">
        <v>29</v>
      </c>
      <c r="D140" s="10" t="s">
        <v>30</v>
      </c>
      <c r="E140" s="16" t="s">
        <v>30</v>
      </c>
      <c r="F140" s="16" t="s">
        <v>1057</v>
      </c>
      <c r="G140" s="16" t="s">
        <v>1058</v>
      </c>
      <c r="H140" s="16" t="s">
        <v>1059</v>
      </c>
      <c r="I140" s="152" t="s">
        <v>3046</v>
      </c>
      <c r="J140" s="16" t="s">
        <v>1060</v>
      </c>
      <c r="K140" s="16" t="s">
        <v>1041</v>
      </c>
      <c r="L140" s="10"/>
      <c r="M140" s="10"/>
      <c r="N140" s="10" t="s">
        <v>1057</v>
      </c>
      <c r="O140" s="10" t="s">
        <v>1057</v>
      </c>
      <c r="P140" s="38" t="s">
        <v>30</v>
      </c>
      <c r="Q140" s="25">
        <f>2/2</f>
        <v>1</v>
      </c>
    </row>
    <row r="141" spans="1:17" s="20" customFormat="1" ht="249.95" customHeight="1" x14ac:dyDescent="0.35">
      <c r="A141" s="10" t="s">
        <v>1042</v>
      </c>
      <c r="B141" s="10" t="s">
        <v>3025</v>
      </c>
      <c r="C141" s="10" t="s">
        <v>29</v>
      </c>
      <c r="D141" s="10" t="s">
        <v>30</v>
      </c>
      <c r="E141" s="10" t="s">
        <v>30</v>
      </c>
      <c r="F141" s="10" t="s">
        <v>1061</v>
      </c>
      <c r="G141" s="16" t="s">
        <v>1062</v>
      </c>
      <c r="H141" s="16" t="s">
        <v>1063</v>
      </c>
      <c r="I141" s="152" t="s">
        <v>3046</v>
      </c>
      <c r="J141" s="16" t="s">
        <v>1064</v>
      </c>
      <c r="K141" s="16" t="s">
        <v>1041</v>
      </c>
      <c r="L141" s="10"/>
      <c r="M141" s="10"/>
      <c r="N141" s="120"/>
      <c r="O141" s="10">
        <v>50</v>
      </c>
      <c r="P141" s="123"/>
      <c r="Q141" s="124"/>
    </row>
    <row r="142" spans="1:17" s="20" customFormat="1" ht="249.95" customHeight="1" x14ac:dyDescent="0.35">
      <c r="A142" s="10" t="s">
        <v>1042</v>
      </c>
      <c r="B142" s="10" t="s">
        <v>3025</v>
      </c>
      <c r="C142" s="10" t="s">
        <v>29</v>
      </c>
      <c r="D142" s="10" t="s">
        <v>30</v>
      </c>
      <c r="E142" s="10" t="s">
        <v>162</v>
      </c>
      <c r="F142" s="10" t="s">
        <v>162</v>
      </c>
      <c r="G142" s="16" t="s">
        <v>1066</v>
      </c>
      <c r="H142" s="16" t="s">
        <v>1067</v>
      </c>
      <c r="I142" s="152" t="s">
        <v>3046</v>
      </c>
      <c r="J142" s="16" t="s">
        <v>1068</v>
      </c>
      <c r="K142" s="16" t="s">
        <v>1041</v>
      </c>
      <c r="L142" s="10" t="s">
        <v>1069</v>
      </c>
      <c r="M142" s="10" t="s">
        <v>403</v>
      </c>
      <c r="N142" s="118"/>
      <c r="O142" s="10" t="s">
        <v>1070</v>
      </c>
      <c r="P142" s="123"/>
      <c r="Q142" s="124"/>
    </row>
    <row r="143" spans="1:17" s="20" customFormat="1" ht="249.95" customHeight="1" x14ac:dyDescent="0.35">
      <c r="A143" s="10" t="s">
        <v>1042</v>
      </c>
      <c r="B143" s="10" t="s">
        <v>3025</v>
      </c>
      <c r="C143" s="10" t="s">
        <v>29</v>
      </c>
      <c r="D143" s="10" t="s">
        <v>30</v>
      </c>
      <c r="E143" s="10" t="s">
        <v>162</v>
      </c>
      <c r="F143" s="10" t="s">
        <v>162</v>
      </c>
      <c r="G143" s="16" t="s">
        <v>1071</v>
      </c>
      <c r="H143" s="16" t="s">
        <v>1072</v>
      </c>
      <c r="I143" s="152" t="s">
        <v>3046</v>
      </c>
      <c r="J143" s="16" t="s">
        <v>1073</v>
      </c>
      <c r="K143" s="16" t="s">
        <v>1041</v>
      </c>
      <c r="L143" s="10" t="s">
        <v>1074</v>
      </c>
      <c r="M143" s="10" t="s">
        <v>403</v>
      </c>
      <c r="N143" s="118"/>
      <c r="O143" s="10" t="s">
        <v>1075</v>
      </c>
      <c r="P143" s="123"/>
      <c r="Q143" s="124"/>
    </row>
    <row r="144" spans="1:17" s="20" customFormat="1" ht="249.95" customHeight="1" x14ac:dyDescent="0.35">
      <c r="A144" s="10" t="s">
        <v>1042</v>
      </c>
      <c r="B144" s="10" t="s">
        <v>3025</v>
      </c>
      <c r="C144" s="10" t="s">
        <v>17</v>
      </c>
      <c r="D144" s="10" t="s">
        <v>1076</v>
      </c>
      <c r="E144" s="10" t="s">
        <v>1077</v>
      </c>
      <c r="F144" s="10" t="s">
        <v>1078</v>
      </c>
      <c r="G144" s="16" t="s">
        <v>1079</v>
      </c>
      <c r="H144" s="16" t="s">
        <v>1080</v>
      </c>
      <c r="I144" s="152" t="s">
        <v>3046</v>
      </c>
      <c r="J144" s="16" t="s">
        <v>1081</v>
      </c>
      <c r="K144" s="16" t="s">
        <v>1041</v>
      </c>
      <c r="L144" s="10" t="s">
        <v>1082</v>
      </c>
      <c r="M144" s="10" t="s">
        <v>1083</v>
      </c>
      <c r="N144" s="10" t="s">
        <v>1084</v>
      </c>
      <c r="O144" s="10" t="s">
        <v>1085</v>
      </c>
      <c r="P144" s="35">
        <f>5/24</f>
        <v>0.20833333333333334</v>
      </c>
      <c r="Q144" s="25">
        <f>67/72</f>
        <v>0.93055555555555558</v>
      </c>
    </row>
    <row r="145" spans="1:17" s="20" customFormat="1" ht="249.95" customHeight="1" x14ac:dyDescent="0.35">
      <c r="A145" s="10" t="s">
        <v>1042</v>
      </c>
      <c r="B145" s="10" t="s">
        <v>3025</v>
      </c>
      <c r="C145" s="10" t="s">
        <v>29</v>
      </c>
      <c r="D145" s="10" t="s">
        <v>30</v>
      </c>
      <c r="E145" s="10" t="s">
        <v>162</v>
      </c>
      <c r="F145" s="10" t="s">
        <v>162</v>
      </c>
      <c r="G145" s="16" t="s">
        <v>1086</v>
      </c>
      <c r="H145" s="16" t="s">
        <v>1087</v>
      </c>
      <c r="I145" s="152" t="s">
        <v>3046</v>
      </c>
      <c r="J145" s="16" t="s">
        <v>1088</v>
      </c>
      <c r="K145" s="16" t="s">
        <v>1041</v>
      </c>
      <c r="L145" s="10" t="s">
        <v>1089</v>
      </c>
      <c r="M145" s="10" t="s">
        <v>1089</v>
      </c>
      <c r="N145" s="10">
        <v>0</v>
      </c>
      <c r="O145" s="10" t="s">
        <v>1089</v>
      </c>
      <c r="P145" s="35">
        <v>0</v>
      </c>
      <c r="Q145" s="43">
        <f>0/5</f>
        <v>0</v>
      </c>
    </row>
    <row r="146" spans="1:17" s="20" customFormat="1" ht="249.95" customHeight="1" x14ac:dyDescent="0.35">
      <c r="A146" s="10" t="s">
        <v>1042</v>
      </c>
      <c r="B146" s="10" t="s">
        <v>3025</v>
      </c>
      <c r="C146" s="10" t="s">
        <v>29</v>
      </c>
      <c r="D146" s="10" t="s">
        <v>30</v>
      </c>
      <c r="E146" s="10" t="s">
        <v>1090</v>
      </c>
      <c r="F146" s="10" t="s">
        <v>1090</v>
      </c>
      <c r="G146" s="16" t="s">
        <v>1091</v>
      </c>
      <c r="H146" s="16" t="s">
        <v>1092</v>
      </c>
      <c r="I146" s="152" t="s">
        <v>3046</v>
      </c>
      <c r="J146" s="16" t="s">
        <v>1093</v>
      </c>
      <c r="K146" s="16" t="s">
        <v>1041</v>
      </c>
      <c r="L146" s="10" t="s">
        <v>1094</v>
      </c>
      <c r="M146" s="10" t="s">
        <v>1095</v>
      </c>
      <c r="N146" s="10">
        <v>0</v>
      </c>
      <c r="O146" s="10" t="s">
        <v>1095</v>
      </c>
      <c r="P146" s="35">
        <v>0</v>
      </c>
      <c r="Q146" s="37">
        <f>1/2</f>
        <v>0.5</v>
      </c>
    </row>
    <row r="147" spans="1:17" s="20" customFormat="1" ht="249.95" customHeight="1" x14ac:dyDescent="0.35">
      <c r="A147" s="10" t="s">
        <v>1042</v>
      </c>
      <c r="B147" s="10" t="s">
        <v>3025</v>
      </c>
      <c r="C147" s="10" t="s">
        <v>29</v>
      </c>
      <c r="D147" s="10" t="s">
        <v>30</v>
      </c>
      <c r="E147" s="10" t="s">
        <v>1096</v>
      </c>
      <c r="F147" s="10" t="s">
        <v>1097</v>
      </c>
      <c r="G147" s="16" t="s">
        <v>1098</v>
      </c>
      <c r="H147" s="16" t="s">
        <v>1099</v>
      </c>
      <c r="I147" s="152" t="s">
        <v>3046</v>
      </c>
      <c r="J147" s="16" t="s">
        <v>1100</v>
      </c>
      <c r="K147" s="16" t="s">
        <v>1041</v>
      </c>
      <c r="L147" s="10" t="s">
        <v>1101</v>
      </c>
      <c r="M147" s="10" t="s">
        <v>1102</v>
      </c>
      <c r="N147" s="10" t="s">
        <v>1103</v>
      </c>
      <c r="O147" s="10" t="s">
        <v>1104</v>
      </c>
      <c r="P147" s="33">
        <f>5/3</f>
        <v>1.6666666666666667</v>
      </c>
      <c r="Q147" s="25">
        <f>63</f>
        <v>63</v>
      </c>
    </row>
    <row r="148" spans="1:17" s="20" customFormat="1" ht="249.95" customHeight="1" x14ac:dyDescent="0.35">
      <c r="A148" s="10" t="s">
        <v>1042</v>
      </c>
      <c r="B148" s="10" t="s">
        <v>3025</v>
      </c>
      <c r="C148" s="10" t="s">
        <v>29</v>
      </c>
      <c r="D148" s="10" t="s">
        <v>30</v>
      </c>
      <c r="E148" s="10" t="s">
        <v>162</v>
      </c>
      <c r="F148" s="10" t="s">
        <v>162</v>
      </c>
      <c r="G148" s="16" t="s">
        <v>1105</v>
      </c>
      <c r="H148" s="16" t="s">
        <v>1106</v>
      </c>
      <c r="I148" s="152" t="s">
        <v>3046</v>
      </c>
      <c r="J148" s="16" t="s">
        <v>1107</v>
      </c>
      <c r="K148" s="16" t="s">
        <v>1041</v>
      </c>
      <c r="L148" s="10" t="s">
        <v>1108</v>
      </c>
      <c r="M148" s="10" t="s">
        <v>1109</v>
      </c>
      <c r="N148" s="10">
        <v>0</v>
      </c>
      <c r="O148" s="10" t="s">
        <v>1110</v>
      </c>
      <c r="P148" s="35">
        <v>0</v>
      </c>
      <c r="Q148" s="25">
        <f>4/5</f>
        <v>0.8</v>
      </c>
    </row>
    <row r="149" spans="1:17" s="20" customFormat="1" ht="249.95" customHeight="1" x14ac:dyDescent="0.35">
      <c r="A149" s="10" t="s">
        <v>1042</v>
      </c>
      <c r="B149" s="10" t="s">
        <v>3025</v>
      </c>
      <c r="C149" s="10" t="s">
        <v>29</v>
      </c>
      <c r="D149" s="10" t="s">
        <v>30</v>
      </c>
      <c r="E149" s="10" t="s">
        <v>162</v>
      </c>
      <c r="F149" s="10" t="s">
        <v>162</v>
      </c>
      <c r="G149" s="16" t="s">
        <v>1111</v>
      </c>
      <c r="H149" s="16" t="s">
        <v>1112</v>
      </c>
      <c r="I149" s="152" t="s">
        <v>3046</v>
      </c>
      <c r="J149" s="16" t="s">
        <v>1113</v>
      </c>
      <c r="K149" s="16" t="s">
        <v>1041</v>
      </c>
      <c r="L149" s="10" t="s">
        <v>1114</v>
      </c>
      <c r="M149" s="10" t="s">
        <v>403</v>
      </c>
      <c r="N149" s="118"/>
      <c r="O149" s="10" t="s">
        <v>1115</v>
      </c>
      <c r="P149" s="123"/>
      <c r="Q149" s="124"/>
    </row>
    <row r="150" spans="1:17" s="20" customFormat="1" ht="249.95" customHeight="1" x14ac:dyDescent="0.35">
      <c r="A150" s="10" t="s">
        <v>1042</v>
      </c>
      <c r="B150" s="10" t="s">
        <v>3025</v>
      </c>
      <c r="C150" s="10" t="s">
        <v>29</v>
      </c>
      <c r="D150" s="10" t="s">
        <v>30</v>
      </c>
      <c r="E150" s="10" t="s">
        <v>399</v>
      </c>
      <c r="F150" s="10" t="s">
        <v>399</v>
      </c>
      <c r="G150" s="16" t="s">
        <v>1116</v>
      </c>
      <c r="H150" s="16" t="s">
        <v>1117</v>
      </c>
      <c r="I150" s="152" t="s">
        <v>3046</v>
      </c>
      <c r="J150" s="16" t="s">
        <v>1118</v>
      </c>
      <c r="K150" s="16" t="s">
        <v>1041</v>
      </c>
      <c r="L150" s="10" t="s">
        <v>1119</v>
      </c>
      <c r="M150" s="10" t="s">
        <v>1090</v>
      </c>
      <c r="N150" s="118"/>
      <c r="O150" s="10" t="s">
        <v>1120</v>
      </c>
      <c r="P150" s="123"/>
      <c r="Q150" s="124"/>
    </row>
    <row r="151" spans="1:17" s="20" customFormat="1" ht="249.95" customHeight="1" x14ac:dyDescent="0.35">
      <c r="A151" s="10" t="s">
        <v>1042</v>
      </c>
      <c r="B151" s="10" t="s">
        <v>3025</v>
      </c>
      <c r="C151" s="10" t="s">
        <v>29</v>
      </c>
      <c r="D151" s="10" t="s">
        <v>30</v>
      </c>
      <c r="E151" s="16" t="s">
        <v>399</v>
      </c>
      <c r="F151" s="16" t="s">
        <v>399</v>
      </c>
      <c r="G151" s="16" t="s">
        <v>1121</v>
      </c>
      <c r="H151" s="16" t="s">
        <v>1122</v>
      </c>
      <c r="I151" s="152" t="s">
        <v>3046</v>
      </c>
      <c r="J151" s="16" t="s">
        <v>1123</v>
      </c>
      <c r="K151" s="16" t="s">
        <v>1041</v>
      </c>
      <c r="L151" s="10" t="s">
        <v>1124</v>
      </c>
      <c r="M151" s="10" t="s">
        <v>1124</v>
      </c>
      <c r="N151" s="10">
        <v>0</v>
      </c>
      <c r="O151" s="10" t="s">
        <v>1124</v>
      </c>
      <c r="P151" s="60">
        <v>0</v>
      </c>
      <c r="Q151" s="43">
        <v>0</v>
      </c>
    </row>
    <row r="152" spans="1:17" s="20" customFormat="1" ht="249.95" customHeight="1" x14ac:dyDescent="0.35">
      <c r="A152" s="10" t="s">
        <v>1042</v>
      </c>
      <c r="B152" s="10" t="s">
        <v>3025</v>
      </c>
      <c r="C152" s="10" t="s">
        <v>29</v>
      </c>
      <c r="D152" s="10" t="s">
        <v>30</v>
      </c>
      <c r="E152" s="10" t="s">
        <v>349</v>
      </c>
      <c r="F152" s="10" t="s">
        <v>349</v>
      </c>
      <c r="G152" s="16" t="s">
        <v>1125</v>
      </c>
      <c r="H152" s="16" t="s">
        <v>1126</v>
      </c>
      <c r="I152" s="152" t="s">
        <v>3046</v>
      </c>
      <c r="J152" s="16" t="s">
        <v>1127</v>
      </c>
      <c r="K152" s="16" t="s">
        <v>1041</v>
      </c>
      <c r="L152" s="10" t="s">
        <v>1128</v>
      </c>
      <c r="M152" s="10" t="s">
        <v>1129</v>
      </c>
      <c r="N152" s="118"/>
      <c r="O152" s="10" t="s">
        <v>1129</v>
      </c>
      <c r="P152" s="123"/>
      <c r="Q152" s="124"/>
    </row>
    <row r="153" spans="1:17" s="20" customFormat="1" ht="249.95" customHeight="1" x14ac:dyDescent="0.35">
      <c r="A153" s="10" t="s">
        <v>1042</v>
      </c>
      <c r="B153" s="10" t="s">
        <v>3025</v>
      </c>
      <c r="C153" s="10" t="s">
        <v>29</v>
      </c>
      <c r="D153" s="10" t="s">
        <v>30</v>
      </c>
      <c r="E153" s="16" t="s">
        <v>1130</v>
      </c>
      <c r="F153" s="16" t="s">
        <v>1131</v>
      </c>
      <c r="G153" s="16" t="s">
        <v>1132</v>
      </c>
      <c r="H153" s="16" t="s">
        <v>1133</v>
      </c>
      <c r="I153" s="152" t="s">
        <v>3046</v>
      </c>
      <c r="J153" s="16" t="s">
        <v>1134</v>
      </c>
      <c r="K153" s="16" t="s">
        <v>1041</v>
      </c>
      <c r="L153" s="10" t="s">
        <v>1135</v>
      </c>
      <c r="M153" s="10" t="s">
        <v>1136</v>
      </c>
      <c r="N153" s="118"/>
      <c r="O153" s="10" t="s">
        <v>1137</v>
      </c>
      <c r="P153" s="123"/>
      <c r="Q153" s="124"/>
    </row>
    <row r="154" spans="1:17" s="20" customFormat="1" ht="249.95" customHeight="1" x14ac:dyDescent="0.35">
      <c r="A154" s="10" t="s">
        <v>1042</v>
      </c>
      <c r="B154" s="10" t="s">
        <v>3025</v>
      </c>
      <c r="C154" s="10" t="s">
        <v>17</v>
      </c>
      <c r="D154" s="10" t="s">
        <v>1138</v>
      </c>
      <c r="E154" s="16" t="s">
        <v>1139</v>
      </c>
      <c r="F154" s="16" t="s">
        <v>1140</v>
      </c>
      <c r="G154" s="16" t="s">
        <v>1141</v>
      </c>
      <c r="H154" s="16" t="s">
        <v>1142</v>
      </c>
      <c r="I154" s="152" t="s">
        <v>3046</v>
      </c>
      <c r="J154" s="16" t="s">
        <v>992</v>
      </c>
      <c r="K154" s="16" t="s">
        <v>52</v>
      </c>
      <c r="L154" s="10" t="s">
        <v>1143</v>
      </c>
      <c r="M154" s="10" t="s">
        <v>1144</v>
      </c>
      <c r="N154" s="10">
        <v>0</v>
      </c>
      <c r="O154" s="10" t="s">
        <v>1145</v>
      </c>
      <c r="P154" s="35">
        <v>0</v>
      </c>
      <c r="Q154" s="25">
        <f>1112/1200</f>
        <v>0.92666666666666664</v>
      </c>
    </row>
    <row r="155" spans="1:17" s="36" customFormat="1" ht="249.75" customHeight="1" x14ac:dyDescent="0.35">
      <c r="A155" s="10" t="s">
        <v>1042</v>
      </c>
      <c r="B155" s="10" t="s">
        <v>3025</v>
      </c>
      <c r="C155" s="10" t="s">
        <v>17</v>
      </c>
      <c r="D155" s="10" t="s">
        <v>1146</v>
      </c>
      <c r="E155" s="64" t="s">
        <v>1147</v>
      </c>
      <c r="F155" s="64" t="s">
        <v>1148</v>
      </c>
      <c r="G155" s="16" t="s">
        <v>1149</v>
      </c>
      <c r="H155" s="16" t="s">
        <v>1150</v>
      </c>
      <c r="I155" s="152" t="s">
        <v>3046</v>
      </c>
      <c r="J155" s="16" t="s">
        <v>699</v>
      </c>
      <c r="K155" s="16" t="s">
        <v>52</v>
      </c>
      <c r="L155" s="10" t="s">
        <v>1151</v>
      </c>
      <c r="M155" s="10" t="s">
        <v>1152</v>
      </c>
      <c r="N155" s="27" t="s">
        <v>1153</v>
      </c>
      <c r="O155" s="10" t="s">
        <v>1154</v>
      </c>
      <c r="P155" s="24">
        <f>13455/15000</f>
        <v>0.89700000000000002</v>
      </c>
      <c r="Q155" s="25">
        <f>64702/45000</f>
        <v>1.4378222222222221</v>
      </c>
    </row>
    <row r="156" spans="1:17" s="20" customFormat="1" ht="249.95" customHeight="1" x14ac:dyDescent="0.35">
      <c r="A156" s="10" t="s">
        <v>1042</v>
      </c>
      <c r="B156" s="10" t="s">
        <v>3025</v>
      </c>
      <c r="C156" s="10" t="s">
        <v>29</v>
      </c>
      <c r="D156" s="10" t="s">
        <v>30</v>
      </c>
      <c r="E156" s="10" t="s">
        <v>1155</v>
      </c>
      <c r="F156" s="10" t="s">
        <v>1156</v>
      </c>
      <c r="G156" s="16" t="s">
        <v>1157</v>
      </c>
      <c r="H156" s="16" t="s">
        <v>1158</v>
      </c>
      <c r="I156" s="152" t="s">
        <v>3046</v>
      </c>
      <c r="J156" s="16" t="s">
        <v>1159</v>
      </c>
      <c r="K156" s="16" t="s">
        <v>52</v>
      </c>
      <c r="L156" s="10" t="s">
        <v>1160</v>
      </c>
      <c r="M156" s="10" t="s">
        <v>1161</v>
      </c>
      <c r="N156" s="10">
        <v>0</v>
      </c>
      <c r="O156" s="10" t="s">
        <v>1162</v>
      </c>
      <c r="P156" s="35">
        <f>0/34</f>
        <v>0</v>
      </c>
      <c r="Q156" s="37">
        <f>38/100</f>
        <v>0.38</v>
      </c>
    </row>
    <row r="157" spans="1:17" s="36" customFormat="1" ht="249.95" customHeight="1" x14ac:dyDescent="0.35">
      <c r="A157" s="10" t="s">
        <v>1042</v>
      </c>
      <c r="B157" s="10" t="s">
        <v>3025</v>
      </c>
      <c r="C157" s="10" t="s">
        <v>17</v>
      </c>
      <c r="D157" s="46" t="s">
        <v>1163</v>
      </c>
      <c r="E157" s="46" t="s">
        <v>1164</v>
      </c>
      <c r="F157" s="46" t="s">
        <v>1165</v>
      </c>
      <c r="G157" s="16" t="s">
        <v>1166</v>
      </c>
      <c r="H157" s="16" t="s">
        <v>1167</v>
      </c>
      <c r="I157" s="152" t="s">
        <v>3046</v>
      </c>
      <c r="J157" s="16" t="s">
        <v>1168</v>
      </c>
      <c r="K157" s="16" t="s">
        <v>52</v>
      </c>
      <c r="L157" s="10" t="s">
        <v>1169</v>
      </c>
      <c r="M157" s="10" t="s">
        <v>1170</v>
      </c>
      <c r="N157" s="10" t="s">
        <v>1171</v>
      </c>
      <c r="O157" s="10" t="s">
        <v>1172</v>
      </c>
      <c r="P157" s="33">
        <f>11580/10000</f>
        <v>1.1579999999999999</v>
      </c>
      <c r="Q157" s="25">
        <f>60706/30000</f>
        <v>2.0235333333333334</v>
      </c>
    </row>
    <row r="158" spans="1:17" s="36" customFormat="1" ht="249.95" customHeight="1" x14ac:dyDescent="0.35">
      <c r="A158" s="10" t="s">
        <v>1042</v>
      </c>
      <c r="B158" s="10" t="s">
        <v>3026</v>
      </c>
      <c r="C158" s="10" t="s">
        <v>17</v>
      </c>
      <c r="D158" s="46" t="s">
        <v>1173</v>
      </c>
      <c r="E158" s="46" t="s">
        <v>1174</v>
      </c>
      <c r="F158" s="46" t="s">
        <v>1175</v>
      </c>
      <c r="G158" s="16" t="s">
        <v>1176</v>
      </c>
      <c r="H158" s="16" t="s">
        <v>1177</v>
      </c>
      <c r="I158" s="152" t="s">
        <v>3046</v>
      </c>
      <c r="J158" s="16" t="s">
        <v>1178</v>
      </c>
      <c r="K158" s="16" t="s">
        <v>52</v>
      </c>
      <c r="L158" s="10" t="s">
        <v>1179</v>
      </c>
      <c r="M158" s="46" t="s">
        <v>1180</v>
      </c>
      <c r="N158" s="27" t="s">
        <v>1181</v>
      </c>
      <c r="O158" s="46" t="s">
        <v>1182</v>
      </c>
      <c r="P158" s="35">
        <f>145006/667000</f>
        <v>0.21740029985007497</v>
      </c>
      <c r="Q158" s="25">
        <f>2555903.63/2000000</f>
        <v>1.277951815</v>
      </c>
    </row>
    <row r="159" spans="1:17" s="20" customFormat="1" ht="249.95" customHeight="1" x14ac:dyDescent="0.35">
      <c r="A159" s="10" t="s">
        <v>1042</v>
      </c>
      <c r="B159" s="10" t="s">
        <v>3026</v>
      </c>
      <c r="C159" s="10" t="s">
        <v>29</v>
      </c>
      <c r="D159" s="46" t="s">
        <v>30</v>
      </c>
      <c r="E159" s="46" t="s">
        <v>1184</v>
      </c>
      <c r="F159" s="73" t="s">
        <v>1185</v>
      </c>
      <c r="G159" s="16" t="s">
        <v>1186</v>
      </c>
      <c r="H159" s="16" t="s">
        <v>1187</v>
      </c>
      <c r="I159" s="65" t="s">
        <v>3046</v>
      </c>
      <c r="J159" s="16" t="s">
        <v>1188</v>
      </c>
      <c r="K159" s="16" t="s">
        <v>1183</v>
      </c>
      <c r="L159" s="10" t="s">
        <v>1189</v>
      </c>
      <c r="M159" s="10" t="s">
        <v>1190</v>
      </c>
      <c r="N159" s="27" t="s">
        <v>1191</v>
      </c>
      <c r="O159" s="10" t="s">
        <v>1192</v>
      </c>
      <c r="P159" s="35">
        <f>3859.98/25000</f>
        <v>0.15439920000000001</v>
      </c>
      <c r="Q159" s="37">
        <f>30487.22/75000</f>
        <v>0.40649626666666666</v>
      </c>
    </row>
    <row r="160" spans="1:17" s="20" customFormat="1" ht="249.95" customHeight="1" x14ac:dyDescent="0.35">
      <c r="A160" s="10" t="s">
        <v>1042</v>
      </c>
      <c r="B160" s="10" t="s">
        <v>3026</v>
      </c>
      <c r="C160" s="10" t="s">
        <v>17</v>
      </c>
      <c r="D160" s="46" t="s">
        <v>1193</v>
      </c>
      <c r="E160" s="46" t="s">
        <v>1194</v>
      </c>
      <c r="F160" s="46" t="s">
        <v>1195</v>
      </c>
      <c r="G160" s="16" t="s">
        <v>1196</v>
      </c>
      <c r="H160" s="16" t="s">
        <v>1197</v>
      </c>
      <c r="I160" s="152" t="s">
        <v>3046</v>
      </c>
      <c r="J160" s="16" t="s">
        <v>1198</v>
      </c>
      <c r="K160" s="16" t="s">
        <v>247</v>
      </c>
      <c r="L160" s="10" t="s">
        <v>1199</v>
      </c>
      <c r="M160" s="10" t="s">
        <v>1200</v>
      </c>
      <c r="N160" s="29">
        <v>0</v>
      </c>
      <c r="O160" s="10" t="s">
        <v>1201</v>
      </c>
      <c r="P160" s="35">
        <f>0/12</f>
        <v>0</v>
      </c>
      <c r="Q160" s="43">
        <f>17825.21/140000</f>
        <v>0.12732292857142857</v>
      </c>
    </row>
    <row r="161" spans="1:17" s="20" customFormat="1" ht="249.95" customHeight="1" x14ac:dyDescent="0.35">
      <c r="A161" s="10" t="s">
        <v>1042</v>
      </c>
      <c r="B161" s="10" t="s">
        <v>3026</v>
      </c>
      <c r="C161" s="10" t="s">
        <v>17</v>
      </c>
      <c r="D161" s="46" t="s">
        <v>1202</v>
      </c>
      <c r="E161" s="46" t="s">
        <v>1203</v>
      </c>
      <c r="F161" s="46" t="s">
        <v>1204</v>
      </c>
      <c r="G161" s="16" t="s">
        <v>1205</v>
      </c>
      <c r="H161" s="16" t="s">
        <v>1206</v>
      </c>
      <c r="I161" s="152" t="s">
        <v>3046</v>
      </c>
      <c r="J161" s="16" t="s">
        <v>1207</v>
      </c>
      <c r="K161" s="16" t="s">
        <v>52</v>
      </c>
      <c r="L161" s="10" t="s">
        <v>1208</v>
      </c>
      <c r="M161" s="10" t="s">
        <v>1209</v>
      </c>
      <c r="N161" s="10" t="s">
        <v>1210</v>
      </c>
      <c r="O161" s="10" t="s">
        <v>1211</v>
      </c>
      <c r="P161" s="35">
        <f>7222/166667</f>
        <v>4.3331913336173325E-2</v>
      </c>
      <c r="Q161" s="37">
        <f>227667/500000</f>
        <v>0.45533400000000002</v>
      </c>
    </row>
    <row r="162" spans="1:17" s="20" customFormat="1" ht="249.95" customHeight="1" x14ac:dyDescent="0.35">
      <c r="A162" s="10" t="s">
        <v>1042</v>
      </c>
      <c r="B162" s="10" t="s">
        <v>3026</v>
      </c>
      <c r="C162" s="10" t="s">
        <v>17</v>
      </c>
      <c r="D162" s="46" t="s">
        <v>1212</v>
      </c>
      <c r="E162" s="73" t="s">
        <v>1213</v>
      </c>
      <c r="F162" s="46" t="s">
        <v>1214</v>
      </c>
      <c r="G162" s="16" t="s">
        <v>1215</v>
      </c>
      <c r="H162" s="16" t="s">
        <v>1216</v>
      </c>
      <c r="I162" s="152" t="s">
        <v>3046</v>
      </c>
      <c r="J162" s="16" t="s">
        <v>1217</v>
      </c>
      <c r="K162" s="16" t="s">
        <v>52</v>
      </c>
      <c r="L162" s="10" t="s">
        <v>1218</v>
      </c>
      <c r="M162" s="10" t="s">
        <v>1219</v>
      </c>
      <c r="N162" s="27" t="s">
        <v>1220</v>
      </c>
      <c r="O162" s="10" t="s">
        <v>1221</v>
      </c>
      <c r="P162" s="24">
        <f>137784/222333.34</f>
        <v>0.61971812234728274</v>
      </c>
      <c r="Q162" s="25">
        <f>2054229/667000</f>
        <v>3.0798035982008996</v>
      </c>
    </row>
    <row r="163" spans="1:17" s="20" customFormat="1" ht="249.95" customHeight="1" x14ac:dyDescent="0.35">
      <c r="A163" s="10" t="s">
        <v>1042</v>
      </c>
      <c r="B163" s="10" t="s">
        <v>3026</v>
      </c>
      <c r="C163" s="10" t="s">
        <v>17</v>
      </c>
      <c r="D163" s="46" t="s">
        <v>1222</v>
      </c>
      <c r="E163" s="46" t="s">
        <v>1223</v>
      </c>
      <c r="F163" s="46" t="s">
        <v>1224</v>
      </c>
      <c r="G163" s="16" t="s">
        <v>1225</v>
      </c>
      <c r="H163" s="16" t="s">
        <v>1226</v>
      </c>
      <c r="I163" s="152" t="s">
        <v>3046</v>
      </c>
      <c r="J163" s="16" t="s">
        <v>1227</v>
      </c>
      <c r="K163" s="16" t="s">
        <v>52</v>
      </c>
      <c r="L163" s="10" t="s">
        <v>1228</v>
      </c>
      <c r="M163" s="10" t="s">
        <v>1229</v>
      </c>
      <c r="N163" s="27" t="s">
        <v>1230</v>
      </c>
      <c r="O163" s="10" t="s">
        <v>1231</v>
      </c>
      <c r="P163" s="24">
        <f>24085/41666.66</f>
        <v>0.57804009248641475</v>
      </c>
      <c r="Q163" s="25">
        <f>276361/125000</f>
        <v>2.2108880000000002</v>
      </c>
    </row>
    <row r="164" spans="1:17" s="36" customFormat="1" ht="249.95" customHeight="1" x14ac:dyDescent="0.35">
      <c r="A164" s="10" t="s">
        <v>1042</v>
      </c>
      <c r="B164" s="10" t="s">
        <v>3026</v>
      </c>
      <c r="C164" s="10" t="s">
        <v>17</v>
      </c>
      <c r="D164" s="46" t="s">
        <v>1232</v>
      </c>
      <c r="E164" s="46" t="s">
        <v>1233</v>
      </c>
      <c r="F164" s="46" t="s">
        <v>1234</v>
      </c>
      <c r="G164" s="16" t="s">
        <v>1235</v>
      </c>
      <c r="H164" s="16" t="s">
        <v>1236</v>
      </c>
      <c r="I164" s="152" t="s">
        <v>3046</v>
      </c>
      <c r="J164" s="74" t="s">
        <v>1237</v>
      </c>
      <c r="K164" s="16" t="s">
        <v>247</v>
      </c>
      <c r="L164" s="10" t="s">
        <v>1238</v>
      </c>
      <c r="M164" s="46" t="s">
        <v>1239</v>
      </c>
      <c r="N164" s="27" t="s">
        <v>1240</v>
      </c>
      <c r="O164" s="10" t="s">
        <v>1241</v>
      </c>
      <c r="P164" s="24">
        <f>4104/8000</f>
        <v>0.51300000000000001</v>
      </c>
      <c r="Q164" s="75">
        <f>54473/24000</f>
        <v>2.2697083333333334</v>
      </c>
    </row>
    <row r="165" spans="1:17" s="20" customFormat="1" ht="249.95" customHeight="1" x14ac:dyDescent="0.35">
      <c r="A165" s="10" t="s">
        <v>1042</v>
      </c>
      <c r="B165" s="10" t="s">
        <v>3026</v>
      </c>
      <c r="C165" s="10" t="s">
        <v>29</v>
      </c>
      <c r="D165" s="46" t="s">
        <v>30</v>
      </c>
      <c r="E165" s="46" t="s">
        <v>1242</v>
      </c>
      <c r="F165" s="46" t="s">
        <v>1243</v>
      </c>
      <c r="G165" s="16" t="s">
        <v>1244</v>
      </c>
      <c r="H165" s="16" t="s">
        <v>1245</v>
      </c>
      <c r="I165" s="65" t="s">
        <v>3046</v>
      </c>
      <c r="J165" s="74" t="s">
        <v>1246</v>
      </c>
      <c r="K165" s="16" t="s">
        <v>115</v>
      </c>
      <c r="L165" s="10" t="s">
        <v>1247</v>
      </c>
      <c r="M165" s="10" t="s">
        <v>1248</v>
      </c>
      <c r="N165" s="76" t="s">
        <v>1249</v>
      </c>
      <c r="O165" s="10" t="s">
        <v>1250</v>
      </c>
      <c r="P165" s="54">
        <f>2/2</f>
        <v>1</v>
      </c>
      <c r="Q165" s="75">
        <f>7/5</f>
        <v>1.4</v>
      </c>
    </row>
    <row r="166" spans="1:17" s="36" customFormat="1" ht="249.95" customHeight="1" x14ac:dyDescent="0.35">
      <c r="A166" s="10" t="s">
        <v>1042</v>
      </c>
      <c r="B166" s="10" t="s">
        <v>3026</v>
      </c>
      <c r="C166" s="10" t="s">
        <v>29</v>
      </c>
      <c r="D166" s="46" t="s">
        <v>30</v>
      </c>
      <c r="E166" s="46" t="s">
        <v>1251</v>
      </c>
      <c r="F166" s="46" t="s">
        <v>1252</v>
      </c>
      <c r="G166" s="16" t="s">
        <v>1253</v>
      </c>
      <c r="H166" s="16" t="s">
        <v>1254</v>
      </c>
      <c r="I166" s="65" t="s">
        <v>3046</v>
      </c>
      <c r="J166" s="74" t="s">
        <v>1255</v>
      </c>
      <c r="K166" s="16" t="s">
        <v>115</v>
      </c>
      <c r="L166" s="10" t="s">
        <v>1065</v>
      </c>
      <c r="M166" s="10" t="s">
        <v>1256</v>
      </c>
      <c r="N166" s="47" t="s">
        <v>1257</v>
      </c>
      <c r="O166" s="10" t="s">
        <v>1258</v>
      </c>
      <c r="P166" s="61">
        <f>11/22</f>
        <v>0.5</v>
      </c>
      <c r="Q166" s="77">
        <f>19/66</f>
        <v>0.2878787878787879</v>
      </c>
    </row>
    <row r="167" spans="1:17" s="20" customFormat="1" ht="249.95" customHeight="1" x14ac:dyDescent="0.35">
      <c r="A167" s="10" t="s">
        <v>1042</v>
      </c>
      <c r="B167" s="10" t="s">
        <v>3026</v>
      </c>
      <c r="C167" s="10" t="s">
        <v>29</v>
      </c>
      <c r="D167" s="46" t="s">
        <v>30</v>
      </c>
      <c r="E167" s="46" t="s">
        <v>1259</v>
      </c>
      <c r="F167" s="46" t="s">
        <v>1260</v>
      </c>
      <c r="G167" s="16" t="s">
        <v>1261</v>
      </c>
      <c r="H167" s="16" t="s">
        <v>1262</v>
      </c>
      <c r="I167" s="65" t="s">
        <v>3046</v>
      </c>
      <c r="J167" s="74" t="s">
        <v>1263</v>
      </c>
      <c r="K167" s="16" t="s">
        <v>115</v>
      </c>
      <c r="L167" s="10" t="s">
        <v>1264</v>
      </c>
      <c r="M167" s="10" t="s">
        <v>1265</v>
      </c>
      <c r="N167" s="47" t="s">
        <v>1266</v>
      </c>
      <c r="O167" s="10" t="s">
        <v>1267</v>
      </c>
      <c r="P167" s="33">
        <f>74/35</f>
        <v>2.1142857142857143</v>
      </c>
      <c r="Q167" s="75">
        <f>160/90</f>
        <v>1.7777777777777777</v>
      </c>
    </row>
    <row r="168" spans="1:17" s="20" customFormat="1" ht="249.95" customHeight="1" x14ac:dyDescent="0.35">
      <c r="A168" s="10" t="s">
        <v>1042</v>
      </c>
      <c r="B168" s="10" t="s">
        <v>3026</v>
      </c>
      <c r="C168" s="10" t="s">
        <v>29</v>
      </c>
      <c r="D168" s="46" t="s">
        <v>30</v>
      </c>
      <c r="E168" s="46" t="s">
        <v>1268</v>
      </c>
      <c r="F168" s="46" t="s">
        <v>1269</v>
      </c>
      <c r="G168" s="16" t="s">
        <v>1270</v>
      </c>
      <c r="H168" s="16" t="s">
        <v>1271</v>
      </c>
      <c r="I168" s="65" t="s">
        <v>3046</v>
      </c>
      <c r="J168" s="74" t="s">
        <v>1272</v>
      </c>
      <c r="K168" s="16" t="s">
        <v>1273</v>
      </c>
      <c r="L168" s="10"/>
      <c r="M168" s="10"/>
      <c r="N168" s="10" t="s">
        <v>1274</v>
      </c>
      <c r="O168" s="10" t="s">
        <v>1274</v>
      </c>
      <c r="P168" s="33">
        <f>31/7</f>
        <v>4.4285714285714288</v>
      </c>
      <c r="Q168" s="75">
        <f>31/14</f>
        <v>2.2142857142857144</v>
      </c>
    </row>
    <row r="169" spans="1:17" s="20" customFormat="1" ht="249.95" customHeight="1" x14ac:dyDescent="0.35">
      <c r="A169" s="10" t="s">
        <v>1042</v>
      </c>
      <c r="B169" s="10" t="s">
        <v>3026</v>
      </c>
      <c r="C169" s="10" t="s">
        <v>17</v>
      </c>
      <c r="D169" s="73" t="s">
        <v>1275</v>
      </c>
      <c r="E169" s="46" t="s">
        <v>1276</v>
      </c>
      <c r="F169" s="46" t="s">
        <v>1277</v>
      </c>
      <c r="G169" s="16" t="s">
        <v>1278</v>
      </c>
      <c r="H169" s="16" t="s">
        <v>1279</v>
      </c>
      <c r="I169" s="152" t="s">
        <v>3046</v>
      </c>
      <c r="J169" s="74" t="s">
        <v>1280</v>
      </c>
      <c r="K169" s="16" t="s">
        <v>247</v>
      </c>
      <c r="L169" s="10" t="s">
        <v>1281</v>
      </c>
      <c r="M169" s="10" t="s">
        <v>1282</v>
      </c>
      <c r="N169" s="29">
        <v>2</v>
      </c>
      <c r="O169" s="10" t="s">
        <v>1283</v>
      </c>
      <c r="P169" s="35">
        <f>2/8</f>
        <v>0.25</v>
      </c>
      <c r="Q169" s="75">
        <f>37/24</f>
        <v>1.5416666666666667</v>
      </c>
    </row>
    <row r="170" spans="1:17" s="36" customFormat="1" ht="249.95" customHeight="1" x14ac:dyDescent="0.35">
      <c r="A170" s="10" t="s">
        <v>1042</v>
      </c>
      <c r="B170" s="10" t="s">
        <v>3026</v>
      </c>
      <c r="C170" s="10" t="s">
        <v>29</v>
      </c>
      <c r="D170" s="73" t="s">
        <v>30</v>
      </c>
      <c r="E170" s="46" t="s">
        <v>1284</v>
      </c>
      <c r="F170" s="46" t="s">
        <v>1285</v>
      </c>
      <c r="G170" s="16" t="s">
        <v>1286</v>
      </c>
      <c r="H170" s="16" t="s">
        <v>1287</v>
      </c>
      <c r="I170" s="65" t="s">
        <v>3046</v>
      </c>
      <c r="J170" s="74" t="s">
        <v>1288</v>
      </c>
      <c r="K170" s="16" t="s">
        <v>115</v>
      </c>
      <c r="L170" s="10" t="s">
        <v>1289</v>
      </c>
      <c r="M170" s="46" t="s">
        <v>1290</v>
      </c>
      <c r="N170" s="47" t="s">
        <v>1291</v>
      </c>
      <c r="O170" s="46" t="s">
        <v>1292</v>
      </c>
      <c r="P170" s="33">
        <f>5670/2830</f>
        <v>2.0035335689045937</v>
      </c>
      <c r="Q170" s="75">
        <f>12477/8500</f>
        <v>1.4678823529411764</v>
      </c>
    </row>
    <row r="171" spans="1:17" s="20" customFormat="1" ht="249.95" customHeight="1" x14ac:dyDescent="0.35">
      <c r="A171" s="10" t="s">
        <v>1042</v>
      </c>
      <c r="B171" s="10" t="s">
        <v>3026</v>
      </c>
      <c r="C171" s="10" t="s">
        <v>17</v>
      </c>
      <c r="D171" s="46" t="s">
        <v>1293</v>
      </c>
      <c r="E171" s="46" t="s">
        <v>1294</v>
      </c>
      <c r="F171" s="46" t="s">
        <v>1295</v>
      </c>
      <c r="G171" s="16" t="s">
        <v>1296</v>
      </c>
      <c r="H171" s="16" t="s">
        <v>1297</v>
      </c>
      <c r="I171" s="152" t="s">
        <v>3046</v>
      </c>
      <c r="J171" s="74" t="s">
        <v>1298</v>
      </c>
      <c r="K171" s="16" t="s">
        <v>247</v>
      </c>
      <c r="L171" s="10" t="s">
        <v>1299</v>
      </c>
      <c r="M171" s="10" t="s">
        <v>1300</v>
      </c>
      <c r="N171" s="29">
        <v>0</v>
      </c>
      <c r="O171" s="10" t="s">
        <v>1301</v>
      </c>
      <c r="P171" s="35">
        <f>0/1000</f>
        <v>0</v>
      </c>
      <c r="Q171" s="75">
        <f>4110.06/3000</f>
        <v>1.3700200000000002</v>
      </c>
    </row>
    <row r="172" spans="1:17" s="20" customFormat="1" ht="249.95" customHeight="1" x14ac:dyDescent="0.35">
      <c r="A172" s="10" t="s">
        <v>1042</v>
      </c>
      <c r="B172" s="10" t="s">
        <v>3026</v>
      </c>
      <c r="C172" s="10" t="s">
        <v>17</v>
      </c>
      <c r="D172" s="46" t="s">
        <v>1302</v>
      </c>
      <c r="E172" s="46" t="s">
        <v>1303</v>
      </c>
      <c r="F172" s="46" t="s">
        <v>1304</v>
      </c>
      <c r="G172" s="16" t="s">
        <v>1305</v>
      </c>
      <c r="H172" s="16" t="s">
        <v>1306</v>
      </c>
      <c r="I172" s="152" t="s">
        <v>3046</v>
      </c>
      <c r="J172" s="74" t="s">
        <v>1307</v>
      </c>
      <c r="K172" s="16" t="s">
        <v>247</v>
      </c>
      <c r="L172" s="10" t="s">
        <v>1308</v>
      </c>
      <c r="M172" s="10" t="s">
        <v>1309</v>
      </c>
      <c r="N172" s="27" t="s">
        <v>1310</v>
      </c>
      <c r="O172" s="10" t="s">
        <v>1311</v>
      </c>
      <c r="P172" s="35">
        <f>3/8</f>
        <v>0.375</v>
      </c>
      <c r="Q172" s="75">
        <f>21/24</f>
        <v>0.875</v>
      </c>
    </row>
    <row r="173" spans="1:17" s="20" customFormat="1" ht="249.95" customHeight="1" x14ac:dyDescent="0.35">
      <c r="A173" s="10" t="s">
        <v>1042</v>
      </c>
      <c r="B173" s="10" t="s">
        <v>3026</v>
      </c>
      <c r="C173" s="10" t="s">
        <v>17</v>
      </c>
      <c r="D173" s="46" t="s">
        <v>1312</v>
      </c>
      <c r="E173" s="46" t="s">
        <v>1313</v>
      </c>
      <c r="F173" s="46" t="s">
        <v>1314</v>
      </c>
      <c r="G173" s="16" t="s">
        <v>1315</v>
      </c>
      <c r="H173" s="16" t="s">
        <v>1316</v>
      </c>
      <c r="I173" s="152" t="s">
        <v>3046</v>
      </c>
      <c r="J173" s="74" t="s">
        <v>1317</v>
      </c>
      <c r="K173" s="16" t="s">
        <v>247</v>
      </c>
      <c r="L173" s="10" t="s">
        <v>1318</v>
      </c>
      <c r="M173" s="10" t="s">
        <v>1319</v>
      </c>
      <c r="N173" s="29" t="s">
        <v>1320</v>
      </c>
      <c r="O173" s="10" t="s">
        <v>1321</v>
      </c>
      <c r="P173" s="24">
        <f>2/4</f>
        <v>0.5</v>
      </c>
      <c r="Q173" s="75">
        <f>12/12</f>
        <v>1</v>
      </c>
    </row>
    <row r="174" spans="1:17" s="20" customFormat="1" ht="249.95" customHeight="1" x14ac:dyDescent="0.35">
      <c r="A174" s="10" t="s">
        <v>1042</v>
      </c>
      <c r="B174" s="10" t="s">
        <v>3026</v>
      </c>
      <c r="C174" s="10" t="s">
        <v>17</v>
      </c>
      <c r="D174" s="46" t="s">
        <v>1322</v>
      </c>
      <c r="E174" s="46" t="s">
        <v>1323</v>
      </c>
      <c r="F174" s="46" t="s">
        <v>1324</v>
      </c>
      <c r="G174" s="16" t="s">
        <v>1325</v>
      </c>
      <c r="H174" s="16" t="s">
        <v>1326</v>
      </c>
      <c r="I174" s="152" t="s">
        <v>3046</v>
      </c>
      <c r="J174" s="74" t="s">
        <v>1327</v>
      </c>
      <c r="K174" s="16" t="s">
        <v>247</v>
      </c>
      <c r="L174" s="10" t="s">
        <v>1328</v>
      </c>
      <c r="M174" s="10" t="s">
        <v>1329</v>
      </c>
      <c r="N174" s="47">
        <v>0</v>
      </c>
      <c r="O174" s="10" t="s">
        <v>1328</v>
      </c>
      <c r="P174" s="35">
        <v>0</v>
      </c>
      <c r="Q174" s="77">
        <f>0/600</f>
        <v>0</v>
      </c>
    </row>
    <row r="175" spans="1:17" s="20" customFormat="1" ht="249.95" customHeight="1" x14ac:dyDescent="0.35">
      <c r="A175" s="10" t="s">
        <v>1042</v>
      </c>
      <c r="B175" s="10" t="s">
        <v>3026</v>
      </c>
      <c r="C175" s="10" t="s">
        <v>17</v>
      </c>
      <c r="D175" s="73" t="s">
        <v>1330</v>
      </c>
      <c r="E175" s="73" t="s">
        <v>1331</v>
      </c>
      <c r="F175" s="46" t="s">
        <v>1332</v>
      </c>
      <c r="G175" s="16" t="s">
        <v>1333</v>
      </c>
      <c r="H175" s="16" t="s">
        <v>1334</v>
      </c>
      <c r="I175" s="152" t="s">
        <v>3046</v>
      </c>
      <c r="J175" s="16" t="s">
        <v>1335</v>
      </c>
      <c r="K175" s="16" t="s">
        <v>247</v>
      </c>
      <c r="L175" s="10" t="s">
        <v>1336</v>
      </c>
      <c r="M175" s="10" t="s">
        <v>1337</v>
      </c>
      <c r="N175" s="29">
        <v>0</v>
      </c>
      <c r="O175" s="10" t="s">
        <v>1338</v>
      </c>
      <c r="P175" s="77">
        <f>0/50</f>
        <v>0</v>
      </c>
      <c r="Q175" s="78">
        <f>9/20</f>
        <v>0.45</v>
      </c>
    </row>
    <row r="176" spans="1:17" s="20" customFormat="1" ht="249.95" customHeight="1" x14ac:dyDescent="0.35">
      <c r="A176" s="10" t="s">
        <v>1042</v>
      </c>
      <c r="B176" s="10" t="s">
        <v>3026</v>
      </c>
      <c r="C176" s="10" t="s">
        <v>17</v>
      </c>
      <c r="D176" s="79" t="s">
        <v>1339</v>
      </c>
      <c r="E176" s="46" t="s">
        <v>1340</v>
      </c>
      <c r="F176" s="46" t="s">
        <v>1341</v>
      </c>
      <c r="G176" s="16" t="s">
        <v>1342</v>
      </c>
      <c r="H176" s="16" t="s">
        <v>1343</v>
      </c>
      <c r="I176" s="152" t="s">
        <v>3046</v>
      </c>
      <c r="J176" s="16" t="s">
        <v>1344</v>
      </c>
      <c r="K176" s="16" t="s">
        <v>247</v>
      </c>
      <c r="L176" s="10" t="s">
        <v>1345</v>
      </c>
      <c r="M176" s="10" t="s">
        <v>1346</v>
      </c>
      <c r="N176" s="29" t="s">
        <v>1347</v>
      </c>
      <c r="O176" s="10" t="s">
        <v>1348</v>
      </c>
      <c r="P176" s="77">
        <f>1/50</f>
        <v>0.02</v>
      </c>
      <c r="Q176" s="78">
        <f>11/30</f>
        <v>0.36666666666666664</v>
      </c>
    </row>
    <row r="177" spans="1:17" s="36" customFormat="1" ht="249.95" customHeight="1" x14ac:dyDescent="0.35">
      <c r="A177" s="10" t="s">
        <v>1042</v>
      </c>
      <c r="B177" s="10" t="s">
        <v>3026</v>
      </c>
      <c r="C177" s="10" t="s">
        <v>29</v>
      </c>
      <c r="D177" s="79" t="s">
        <v>30</v>
      </c>
      <c r="E177" s="46" t="s">
        <v>1349</v>
      </c>
      <c r="F177" s="46" t="s">
        <v>3015</v>
      </c>
      <c r="G177" s="16" t="s">
        <v>1350</v>
      </c>
      <c r="H177" s="16" t="s">
        <v>1351</v>
      </c>
      <c r="I177" s="65" t="s">
        <v>3046</v>
      </c>
      <c r="J177" s="16" t="s">
        <v>1344</v>
      </c>
      <c r="K177" s="16" t="s">
        <v>115</v>
      </c>
      <c r="L177" s="10" t="s">
        <v>1349</v>
      </c>
      <c r="M177" s="10" t="s">
        <v>1352</v>
      </c>
      <c r="N177" s="29">
        <v>0</v>
      </c>
      <c r="O177" s="10" t="s">
        <v>1353</v>
      </c>
      <c r="P177" s="123"/>
      <c r="Q177" s="124"/>
    </row>
    <row r="178" spans="1:17" s="20" customFormat="1" ht="249.95" customHeight="1" x14ac:dyDescent="0.35">
      <c r="A178" s="10" t="s">
        <v>1042</v>
      </c>
      <c r="B178" s="10" t="s">
        <v>3026</v>
      </c>
      <c r="C178" s="10" t="s">
        <v>17</v>
      </c>
      <c r="D178" s="73" t="s">
        <v>1354</v>
      </c>
      <c r="E178" s="73" t="s">
        <v>1355</v>
      </c>
      <c r="F178" s="46" t="s">
        <v>1356</v>
      </c>
      <c r="G178" s="16" t="s">
        <v>1357</v>
      </c>
      <c r="H178" s="16" t="s">
        <v>1358</v>
      </c>
      <c r="I178" s="152" t="s">
        <v>3046</v>
      </c>
      <c r="J178" s="16" t="s">
        <v>1359</v>
      </c>
      <c r="K178" s="16" t="s">
        <v>247</v>
      </c>
      <c r="L178" s="10" t="s">
        <v>1360</v>
      </c>
      <c r="M178" s="10" t="s">
        <v>1361</v>
      </c>
      <c r="N178" s="29">
        <v>0</v>
      </c>
      <c r="O178" s="10" t="s">
        <v>1362</v>
      </c>
      <c r="P178" s="77">
        <f>0/50</f>
        <v>0</v>
      </c>
      <c r="Q178" s="75">
        <f>4/5</f>
        <v>0.8</v>
      </c>
    </row>
    <row r="179" spans="1:17" s="20" customFormat="1" ht="249.95" customHeight="1" x14ac:dyDescent="0.35">
      <c r="A179" s="10" t="s">
        <v>1042</v>
      </c>
      <c r="B179" s="10" t="s">
        <v>3026</v>
      </c>
      <c r="C179" s="10" t="s">
        <v>17</v>
      </c>
      <c r="D179" s="46" t="s">
        <v>1363</v>
      </c>
      <c r="E179" s="46" t="s">
        <v>1364</v>
      </c>
      <c r="F179" s="46" t="s">
        <v>1365</v>
      </c>
      <c r="G179" s="16" t="s">
        <v>1366</v>
      </c>
      <c r="H179" s="16" t="s">
        <v>1367</v>
      </c>
      <c r="I179" s="152" t="s">
        <v>3046</v>
      </c>
      <c r="J179" s="16" t="s">
        <v>1368</v>
      </c>
      <c r="K179" s="16" t="s">
        <v>247</v>
      </c>
      <c r="L179" s="10" t="s">
        <v>1369</v>
      </c>
      <c r="M179" s="10" t="s">
        <v>1370</v>
      </c>
      <c r="N179" s="29">
        <v>0</v>
      </c>
      <c r="O179" s="10" t="s">
        <v>1371</v>
      </c>
      <c r="P179" s="77">
        <f>0/50</f>
        <v>0</v>
      </c>
      <c r="Q179" s="78">
        <f>28.79/80</f>
        <v>0.359875</v>
      </c>
    </row>
    <row r="180" spans="1:17" s="36" customFormat="1" ht="249.95" customHeight="1" x14ac:dyDescent="0.35">
      <c r="A180" s="10" t="s">
        <v>1042</v>
      </c>
      <c r="B180" s="10" t="s">
        <v>3026</v>
      </c>
      <c r="C180" s="10" t="s">
        <v>17</v>
      </c>
      <c r="D180" s="46" t="s">
        <v>1372</v>
      </c>
      <c r="E180" s="46" t="s">
        <v>1373</v>
      </c>
      <c r="F180" s="46" t="s">
        <v>1374</v>
      </c>
      <c r="G180" s="16" t="s">
        <v>1375</v>
      </c>
      <c r="H180" s="16" t="s">
        <v>1376</v>
      </c>
      <c r="I180" s="65" t="s">
        <v>3046</v>
      </c>
      <c r="J180" s="16" t="s">
        <v>1377</v>
      </c>
      <c r="K180" s="16" t="s">
        <v>115</v>
      </c>
      <c r="L180" s="10" t="s">
        <v>1378</v>
      </c>
      <c r="M180" s="10" t="s">
        <v>1379</v>
      </c>
      <c r="N180" s="80" t="s">
        <v>1380</v>
      </c>
      <c r="O180" s="10" t="s">
        <v>1381</v>
      </c>
      <c r="P180" s="24">
        <f>10/15</f>
        <v>0.66666666666666663</v>
      </c>
      <c r="Q180" s="75">
        <f>42/32</f>
        <v>1.3125</v>
      </c>
    </row>
    <row r="181" spans="1:17" s="20" customFormat="1" ht="249.95" customHeight="1" x14ac:dyDescent="0.35">
      <c r="A181" s="10" t="s">
        <v>1042</v>
      </c>
      <c r="B181" s="10" t="s">
        <v>3026</v>
      </c>
      <c r="C181" s="10" t="s">
        <v>17</v>
      </c>
      <c r="D181" s="79" t="s">
        <v>1382</v>
      </c>
      <c r="E181" s="79" t="s">
        <v>1383</v>
      </c>
      <c r="F181" s="46" t="s">
        <v>1384</v>
      </c>
      <c r="G181" s="16" t="s">
        <v>1385</v>
      </c>
      <c r="H181" s="16" t="s">
        <v>1386</v>
      </c>
      <c r="I181" s="152" t="s">
        <v>3046</v>
      </c>
      <c r="J181" s="74" t="s">
        <v>1387</v>
      </c>
      <c r="K181" s="16" t="s">
        <v>247</v>
      </c>
      <c r="L181" s="10" t="s">
        <v>1388</v>
      </c>
      <c r="M181" s="10" t="s">
        <v>1388</v>
      </c>
      <c r="N181" s="47">
        <v>0</v>
      </c>
      <c r="O181" s="10" t="s">
        <v>1388</v>
      </c>
      <c r="P181" s="77">
        <f>0/50</f>
        <v>0</v>
      </c>
      <c r="Q181" s="77">
        <f>0/19</f>
        <v>0</v>
      </c>
    </row>
    <row r="182" spans="1:17" s="20" customFormat="1" ht="249.95" customHeight="1" x14ac:dyDescent="0.35">
      <c r="A182" s="10" t="s">
        <v>1042</v>
      </c>
      <c r="B182" s="10" t="s">
        <v>3026</v>
      </c>
      <c r="C182" s="10" t="s">
        <v>17</v>
      </c>
      <c r="D182" s="46" t="s">
        <v>1389</v>
      </c>
      <c r="E182" s="46" t="s">
        <v>1390</v>
      </c>
      <c r="F182" s="46" t="s">
        <v>1391</v>
      </c>
      <c r="G182" s="16" t="s">
        <v>1392</v>
      </c>
      <c r="H182" s="16" t="s">
        <v>1393</v>
      </c>
      <c r="I182" s="152" t="s">
        <v>3046</v>
      </c>
      <c r="J182" s="74" t="s">
        <v>1394</v>
      </c>
      <c r="K182" s="16" t="s">
        <v>247</v>
      </c>
      <c r="L182" s="10" t="s">
        <v>1395</v>
      </c>
      <c r="M182" s="10" t="s">
        <v>1396</v>
      </c>
      <c r="N182" s="29" t="s">
        <v>1397</v>
      </c>
      <c r="O182" s="10" t="s">
        <v>1398</v>
      </c>
      <c r="P182" s="77">
        <f>140/66277</f>
        <v>2.1123466662643147E-3</v>
      </c>
      <c r="Q182" s="77">
        <f>12989.66/198832</f>
        <v>6.5329826184919934E-2</v>
      </c>
    </row>
    <row r="183" spans="1:17" s="20" customFormat="1" ht="249.95" customHeight="1" x14ac:dyDescent="0.35">
      <c r="A183" s="10" t="s">
        <v>1042</v>
      </c>
      <c r="B183" s="10" t="s">
        <v>3026</v>
      </c>
      <c r="C183" s="10" t="s">
        <v>17</v>
      </c>
      <c r="D183" s="73" t="s">
        <v>1399</v>
      </c>
      <c r="E183" s="73" t="s">
        <v>1400</v>
      </c>
      <c r="F183" s="46" t="s">
        <v>1401</v>
      </c>
      <c r="G183" s="16" t="s">
        <v>1402</v>
      </c>
      <c r="H183" s="16" t="s">
        <v>1403</v>
      </c>
      <c r="I183" s="152" t="s">
        <v>3046</v>
      </c>
      <c r="J183" s="74" t="s">
        <v>1404</v>
      </c>
      <c r="K183" s="16" t="s">
        <v>247</v>
      </c>
      <c r="L183" s="10" t="s">
        <v>1405</v>
      </c>
      <c r="M183" s="10" t="s">
        <v>1406</v>
      </c>
      <c r="N183" s="29">
        <v>0</v>
      </c>
      <c r="O183" s="10" t="s">
        <v>1407</v>
      </c>
      <c r="P183" s="77">
        <f>0/50</f>
        <v>0</v>
      </c>
      <c r="Q183" s="77">
        <f>1/7</f>
        <v>0.14285714285714285</v>
      </c>
    </row>
    <row r="184" spans="1:17" s="20" customFormat="1" ht="249.95" customHeight="1" x14ac:dyDescent="0.35">
      <c r="A184" s="10" t="s">
        <v>1042</v>
      </c>
      <c r="B184" s="10" t="s">
        <v>3026</v>
      </c>
      <c r="C184" s="10" t="s">
        <v>29</v>
      </c>
      <c r="D184" s="10" t="s">
        <v>30</v>
      </c>
      <c r="E184" s="79" t="s">
        <v>30</v>
      </c>
      <c r="F184" s="46" t="s">
        <v>1408</v>
      </c>
      <c r="G184" s="16" t="s">
        <v>1409</v>
      </c>
      <c r="H184" s="16" t="s">
        <v>1410</v>
      </c>
      <c r="I184" s="152" t="s">
        <v>3046</v>
      </c>
      <c r="J184" s="74" t="s">
        <v>1411</v>
      </c>
      <c r="K184" s="16" t="s">
        <v>247</v>
      </c>
      <c r="L184" s="10" t="s">
        <v>1412</v>
      </c>
      <c r="M184" s="10" t="s">
        <v>1412</v>
      </c>
      <c r="N184" s="47">
        <v>0</v>
      </c>
      <c r="O184" s="10" t="s">
        <v>1413</v>
      </c>
      <c r="P184" s="81" t="s">
        <v>1414</v>
      </c>
      <c r="Q184" s="75">
        <f>4/4</f>
        <v>1</v>
      </c>
    </row>
    <row r="185" spans="1:17" s="20" customFormat="1" ht="284.25" customHeight="1" x14ac:dyDescent="0.35">
      <c r="A185" s="10" t="s">
        <v>1042</v>
      </c>
      <c r="B185" s="10" t="s">
        <v>3026</v>
      </c>
      <c r="C185" s="10" t="s">
        <v>29</v>
      </c>
      <c r="D185" s="10" t="s">
        <v>30</v>
      </c>
      <c r="E185" s="10" t="s">
        <v>1415</v>
      </c>
      <c r="F185" s="10" t="s">
        <v>1416</v>
      </c>
      <c r="G185" s="16" t="s">
        <v>1417</v>
      </c>
      <c r="H185" s="16" t="s">
        <v>1418</v>
      </c>
      <c r="I185" s="152" t="s">
        <v>3046</v>
      </c>
      <c r="J185" s="10" t="s">
        <v>1419</v>
      </c>
      <c r="K185" s="16" t="s">
        <v>52</v>
      </c>
      <c r="L185" s="10" t="s">
        <v>1420</v>
      </c>
      <c r="M185" s="10" t="s">
        <v>1421</v>
      </c>
      <c r="N185" s="29">
        <v>0</v>
      </c>
      <c r="O185" s="10" t="s">
        <v>1422</v>
      </c>
      <c r="P185" s="35">
        <v>0</v>
      </c>
      <c r="Q185" s="25">
        <f>34/10</f>
        <v>3.4</v>
      </c>
    </row>
    <row r="186" spans="1:17" s="20" customFormat="1" ht="249.95" customHeight="1" x14ac:dyDescent="0.35">
      <c r="A186" s="10" t="s">
        <v>1042</v>
      </c>
      <c r="B186" s="10" t="s">
        <v>3026</v>
      </c>
      <c r="C186" s="10" t="s">
        <v>17</v>
      </c>
      <c r="D186" s="46" t="s">
        <v>1423</v>
      </c>
      <c r="E186" s="46" t="s">
        <v>1424</v>
      </c>
      <c r="F186" s="46" t="s">
        <v>1425</v>
      </c>
      <c r="G186" s="16" t="s">
        <v>1426</v>
      </c>
      <c r="H186" s="16" t="s">
        <v>1427</v>
      </c>
      <c r="I186" s="152" t="s">
        <v>3046</v>
      </c>
      <c r="J186" s="16" t="s">
        <v>1428</v>
      </c>
      <c r="K186" s="16" t="s">
        <v>52</v>
      </c>
      <c r="L186" s="10" t="s">
        <v>1429</v>
      </c>
      <c r="M186" s="10" t="s">
        <v>403</v>
      </c>
      <c r="N186" s="118"/>
      <c r="O186" s="10" t="s">
        <v>1430</v>
      </c>
      <c r="P186" s="132"/>
      <c r="Q186" s="133"/>
    </row>
    <row r="187" spans="1:17" s="20" customFormat="1" ht="249.95" customHeight="1" x14ac:dyDescent="0.35">
      <c r="A187" s="10" t="s">
        <v>1042</v>
      </c>
      <c r="B187" s="10" t="s">
        <v>3027</v>
      </c>
      <c r="C187" s="10" t="s">
        <v>29</v>
      </c>
      <c r="D187" s="46" t="s">
        <v>30</v>
      </c>
      <c r="E187" s="10" t="s">
        <v>1431</v>
      </c>
      <c r="F187" s="10" t="s">
        <v>1432</v>
      </c>
      <c r="G187" s="10" t="s">
        <v>1433</v>
      </c>
      <c r="H187" s="10" t="s">
        <v>1434</v>
      </c>
      <c r="I187" s="152" t="s">
        <v>3048</v>
      </c>
      <c r="J187" s="10" t="s">
        <v>1435</v>
      </c>
      <c r="K187" s="16" t="s">
        <v>52</v>
      </c>
      <c r="L187" s="10" t="s">
        <v>1436</v>
      </c>
      <c r="M187" s="10" t="s">
        <v>1437</v>
      </c>
      <c r="N187" s="27" t="s">
        <v>1438</v>
      </c>
      <c r="O187" s="10" t="s">
        <v>1439</v>
      </c>
      <c r="P187" s="35">
        <f>4.8/33</f>
        <v>0.14545454545454545</v>
      </c>
      <c r="Q187" s="66">
        <f>100.3/100</f>
        <v>1.0029999999999999</v>
      </c>
    </row>
    <row r="188" spans="1:17" s="20" customFormat="1" ht="249.95" customHeight="1" x14ac:dyDescent="0.35">
      <c r="A188" s="10" t="s">
        <v>1042</v>
      </c>
      <c r="B188" s="10" t="s">
        <v>3027</v>
      </c>
      <c r="C188" s="10"/>
      <c r="D188" s="46" t="s">
        <v>30</v>
      </c>
      <c r="E188" s="10" t="s">
        <v>1440</v>
      </c>
      <c r="F188" s="10" t="s">
        <v>1441</v>
      </c>
      <c r="G188" s="10" t="s">
        <v>1442</v>
      </c>
      <c r="H188" s="10"/>
      <c r="I188" s="10" t="s">
        <v>3046</v>
      </c>
      <c r="J188" s="10"/>
      <c r="K188" s="16"/>
      <c r="L188" s="10"/>
      <c r="M188" s="10" t="s">
        <v>1440</v>
      </c>
      <c r="N188" s="10" t="s">
        <v>1443</v>
      </c>
      <c r="O188" s="10" t="s">
        <v>1444</v>
      </c>
      <c r="P188" s="35">
        <f>1/2</f>
        <v>0.5</v>
      </c>
      <c r="Q188" s="25">
        <f>3/4</f>
        <v>0.75</v>
      </c>
    </row>
    <row r="189" spans="1:17" s="20" customFormat="1" ht="249.95" customHeight="1" x14ac:dyDescent="0.35">
      <c r="A189" s="10" t="s">
        <v>1042</v>
      </c>
      <c r="B189" s="10" t="s">
        <v>3027</v>
      </c>
      <c r="C189" s="10" t="s">
        <v>17</v>
      </c>
      <c r="D189" s="73" t="s">
        <v>1445</v>
      </c>
      <c r="E189" s="73" t="s">
        <v>1446</v>
      </c>
      <c r="F189" s="46" t="s">
        <v>1447</v>
      </c>
      <c r="G189" s="16" t="s">
        <v>1448</v>
      </c>
      <c r="H189" s="16" t="s">
        <v>1449</v>
      </c>
      <c r="I189" s="152" t="s">
        <v>3046</v>
      </c>
      <c r="J189" s="74" t="s">
        <v>1450</v>
      </c>
      <c r="K189" s="16" t="s">
        <v>247</v>
      </c>
      <c r="L189" s="10" t="s">
        <v>1451</v>
      </c>
      <c r="M189" s="10" t="s">
        <v>1452</v>
      </c>
      <c r="N189" s="29">
        <v>5</v>
      </c>
      <c r="O189" s="10" t="s">
        <v>1453</v>
      </c>
      <c r="P189" s="77">
        <f>5/50</f>
        <v>0.1</v>
      </c>
      <c r="Q189" s="75">
        <f>55/12</f>
        <v>4.583333333333333</v>
      </c>
    </row>
    <row r="190" spans="1:17" s="36" customFormat="1" ht="249.95" customHeight="1" x14ac:dyDescent="0.35">
      <c r="A190" s="10" t="s">
        <v>1042</v>
      </c>
      <c r="B190" s="10" t="s">
        <v>3027</v>
      </c>
      <c r="C190" s="10" t="s">
        <v>29</v>
      </c>
      <c r="D190" s="10" t="s">
        <v>30</v>
      </c>
      <c r="E190" s="46" t="s">
        <v>1454</v>
      </c>
      <c r="F190" s="46" t="s">
        <v>1455</v>
      </c>
      <c r="G190" s="16" t="s">
        <v>1456</v>
      </c>
      <c r="H190" s="16" t="s">
        <v>1457</v>
      </c>
      <c r="I190" s="152" t="s">
        <v>3046</v>
      </c>
      <c r="J190" s="16" t="s">
        <v>1458</v>
      </c>
      <c r="K190" s="16" t="s">
        <v>52</v>
      </c>
      <c r="L190" s="10" t="s">
        <v>1459</v>
      </c>
      <c r="M190" s="10" t="s">
        <v>1460</v>
      </c>
      <c r="N190" s="27" t="s">
        <v>1461</v>
      </c>
      <c r="O190" s="10" t="s">
        <v>1462</v>
      </c>
      <c r="P190" s="33">
        <f>11/5</f>
        <v>2.2000000000000002</v>
      </c>
      <c r="Q190" s="25">
        <f>45/15</f>
        <v>3</v>
      </c>
    </row>
    <row r="191" spans="1:17" s="36" customFormat="1" ht="249.95" customHeight="1" x14ac:dyDescent="0.35">
      <c r="A191" s="10" t="s">
        <v>1042</v>
      </c>
      <c r="B191" s="10" t="s">
        <v>3027</v>
      </c>
      <c r="C191" s="10" t="s">
        <v>29</v>
      </c>
      <c r="D191" s="10" t="s">
        <v>30</v>
      </c>
      <c r="E191" s="46" t="s">
        <v>1463</v>
      </c>
      <c r="F191" s="46" t="s">
        <v>762</v>
      </c>
      <c r="G191" s="16" t="s">
        <v>1464</v>
      </c>
      <c r="H191" s="16" t="s">
        <v>1465</v>
      </c>
      <c r="I191" s="152" t="s">
        <v>3046</v>
      </c>
      <c r="J191" s="16" t="s">
        <v>1466</v>
      </c>
      <c r="K191" s="16" t="s">
        <v>52</v>
      </c>
      <c r="L191" s="10" t="s">
        <v>1467</v>
      </c>
      <c r="M191" s="10" t="s">
        <v>1469</v>
      </c>
      <c r="N191" s="10" t="s">
        <v>1463</v>
      </c>
      <c r="O191" s="10" t="s">
        <v>1470</v>
      </c>
      <c r="P191" s="33">
        <f>1/1</f>
        <v>1</v>
      </c>
      <c r="Q191" s="25">
        <f>3/3</f>
        <v>1</v>
      </c>
    </row>
    <row r="192" spans="1:17" s="20" customFormat="1" ht="249.95" customHeight="1" x14ac:dyDescent="0.35">
      <c r="A192" s="10" t="s">
        <v>1042</v>
      </c>
      <c r="B192" s="10" t="s">
        <v>3027</v>
      </c>
      <c r="C192" s="10" t="s">
        <v>29</v>
      </c>
      <c r="D192" s="46" t="s">
        <v>30</v>
      </c>
      <c r="E192" s="46" t="s">
        <v>1471</v>
      </c>
      <c r="F192" s="46" t="s">
        <v>1472</v>
      </c>
      <c r="G192" s="16" t="s">
        <v>1473</v>
      </c>
      <c r="H192" s="16" t="s">
        <v>1474</v>
      </c>
      <c r="I192" s="152" t="s">
        <v>3046</v>
      </c>
      <c r="J192" s="16" t="s">
        <v>1475</v>
      </c>
      <c r="K192" s="16" t="s">
        <v>968</v>
      </c>
      <c r="L192" s="10" t="s">
        <v>1476</v>
      </c>
      <c r="M192" s="10" t="s">
        <v>1477</v>
      </c>
      <c r="N192" s="10" t="s">
        <v>1477</v>
      </c>
      <c r="O192" s="10" t="s">
        <v>1476</v>
      </c>
      <c r="P192" s="35">
        <f>0/1</f>
        <v>0</v>
      </c>
      <c r="Q192" s="37">
        <f>1/3</f>
        <v>0.33333333333333331</v>
      </c>
    </row>
    <row r="193" spans="1:17" s="20" customFormat="1" ht="249.95" customHeight="1" x14ac:dyDescent="0.35">
      <c r="A193" s="10" t="s">
        <v>1042</v>
      </c>
      <c r="B193" s="10" t="s">
        <v>3028</v>
      </c>
      <c r="C193" s="10" t="s">
        <v>17</v>
      </c>
      <c r="D193" s="46" t="s">
        <v>1090</v>
      </c>
      <c r="E193" s="46" t="s">
        <v>345</v>
      </c>
      <c r="F193" s="46" t="s">
        <v>1479</v>
      </c>
      <c r="G193" s="17" t="s">
        <v>1480</v>
      </c>
      <c r="H193" s="17" t="s">
        <v>1481</v>
      </c>
      <c r="I193" s="152" t="s">
        <v>3046</v>
      </c>
      <c r="J193" s="16" t="s">
        <v>1482</v>
      </c>
      <c r="K193" s="16" t="s">
        <v>1478</v>
      </c>
      <c r="L193" s="10" t="s">
        <v>1483</v>
      </c>
      <c r="M193" s="10" t="s">
        <v>1484</v>
      </c>
      <c r="N193" s="10" t="s">
        <v>376</v>
      </c>
      <c r="O193" s="10" t="s">
        <v>3010</v>
      </c>
      <c r="P193" s="33">
        <f>6/6</f>
        <v>1</v>
      </c>
      <c r="Q193" s="25">
        <f>18/16</f>
        <v>1.125</v>
      </c>
    </row>
    <row r="194" spans="1:17" s="20" customFormat="1" ht="249.95" customHeight="1" x14ac:dyDescent="0.35">
      <c r="A194" s="10" t="s">
        <v>1042</v>
      </c>
      <c r="B194" s="10" t="s">
        <v>3028</v>
      </c>
      <c r="C194" s="10" t="s">
        <v>29</v>
      </c>
      <c r="D194" s="10" t="s">
        <v>30</v>
      </c>
      <c r="E194" s="46" t="s">
        <v>1485</v>
      </c>
      <c r="F194" s="46" t="s">
        <v>1486</v>
      </c>
      <c r="G194" s="16" t="s">
        <v>1487</v>
      </c>
      <c r="H194" s="16" t="s">
        <v>1488</v>
      </c>
      <c r="I194" s="152" t="s">
        <v>3046</v>
      </c>
      <c r="J194" s="16" t="s">
        <v>1489</v>
      </c>
      <c r="K194" s="16" t="s">
        <v>1478</v>
      </c>
      <c r="L194" s="10" t="s">
        <v>1490</v>
      </c>
      <c r="M194" s="10" t="s">
        <v>1491</v>
      </c>
      <c r="N194" s="10" t="s">
        <v>3011</v>
      </c>
      <c r="O194" s="10" t="s">
        <v>3012</v>
      </c>
      <c r="P194" s="33">
        <f>2/2</f>
        <v>1</v>
      </c>
      <c r="Q194" s="25">
        <f>6/6</f>
        <v>1</v>
      </c>
    </row>
    <row r="195" spans="1:17" s="20" customFormat="1" ht="249.95" customHeight="1" x14ac:dyDescent="0.35">
      <c r="A195" s="10" t="s">
        <v>1042</v>
      </c>
      <c r="B195" s="10" t="s">
        <v>3028</v>
      </c>
      <c r="C195" s="10" t="s">
        <v>29</v>
      </c>
      <c r="D195" s="10" t="s">
        <v>30</v>
      </c>
      <c r="E195" s="46" t="s">
        <v>1492</v>
      </c>
      <c r="F195" s="46" t="s">
        <v>1493</v>
      </c>
      <c r="G195" s="16" t="s">
        <v>1494</v>
      </c>
      <c r="H195" s="17" t="s">
        <v>1495</v>
      </c>
      <c r="I195" s="152" t="s">
        <v>3046</v>
      </c>
      <c r="J195" s="16" t="s">
        <v>1496</v>
      </c>
      <c r="K195" s="16" t="s">
        <v>1478</v>
      </c>
      <c r="L195" s="10" t="s">
        <v>1497</v>
      </c>
      <c r="M195" s="10" t="s">
        <v>1497</v>
      </c>
      <c r="N195" s="10" t="s">
        <v>1498</v>
      </c>
      <c r="O195" s="10" t="s">
        <v>1499</v>
      </c>
      <c r="P195" s="35">
        <f>1/3</f>
        <v>0.33333333333333331</v>
      </c>
      <c r="Q195" s="25">
        <f>7/9</f>
        <v>0.77777777777777779</v>
      </c>
    </row>
    <row r="196" spans="1:17" s="20" customFormat="1" ht="249.95" customHeight="1" x14ac:dyDescent="0.35">
      <c r="A196" s="10" t="s">
        <v>1042</v>
      </c>
      <c r="B196" s="10" t="s">
        <v>3028</v>
      </c>
      <c r="C196" s="10" t="s">
        <v>29</v>
      </c>
      <c r="D196" s="10" t="s">
        <v>30</v>
      </c>
      <c r="E196" s="46" t="s">
        <v>349</v>
      </c>
      <c r="F196" s="46" t="s">
        <v>349</v>
      </c>
      <c r="G196" s="16" t="s">
        <v>1500</v>
      </c>
      <c r="H196" s="16" t="s">
        <v>1501</v>
      </c>
      <c r="I196" s="152" t="s">
        <v>3046</v>
      </c>
      <c r="J196" s="16" t="s">
        <v>1502</v>
      </c>
      <c r="K196" s="16" t="s">
        <v>1478</v>
      </c>
      <c r="L196" s="10" t="s">
        <v>1503</v>
      </c>
      <c r="M196" s="10" t="s">
        <v>1504</v>
      </c>
      <c r="N196" s="10" t="s">
        <v>1505</v>
      </c>
      <c r="O196" s="10" t="s">
        <v>1506</v>
      </c>
      <c r="P196" s="123"/>
      <c r="Q196" s="124"/>
    </row>
    <row r="197" spans="1:17" s="20" customFormat="1" ht="249.95" customHeight="1" x14ac:dyDescent="0.35">
      <c r="A197" s="10" t="s">
        <v>1042</v>
      </c>
      <c r="B197" s="10" t="s">
        <v>3028</v>
      </c>
      <c r="C197" s="10" t="s">
        <v>17</v>
      </c>
      <c r="D197" s="46" t="s">
        <v>414</v>
      </c>
      <c r="E197" s="46" t="s">
        <v>345</v>
      </c>
      <c r="F197" s="46" t="s">
        <v>1507</v>
      </c>
      <c r="G197" s="16" t="s">
        <v>1508</v>
      </c>
      <c r="H197" s="16" t="s">
        <v>1509</v>
      </c>
      <c r="I197" s="152" t="s">
        <v>3046</v>
      </c>
      <c r="J197" s="16" t="s">
        <v>1510</v>
      </c>
      <c r="K197" s="16" t="s">
        <v>1478</v>
      </c>
      <c r="L197" s="10" t="s">
        <v>1511</v>
      </c>
      <c r="M197" s="10" t="s">
        <v>345</v>
      </c>
      <c r="N197" s="10" t="s">
        <v>1512</v>
      </c>
      <c r="O197" s="10" t="s">
        <v>1513</v>
      </c>
      <c r="P197" s="130"/>
      <c r="Q197" s="131"/>
    </row>
    <row r="198" spans="1:17" s="20" customFormat="1" ht="249.95" customHeight="1" x14ac:dyDescent="0.35">
      <c r="A198" s="10" t="s">
        <v>1042</v>
      </c>
      <c r="B198" s="10" t="s">
        <v>3028</v>
      </c>
      <c r="C198" s="10" t="s">
        <v>29</v>
      </c>
      <c r="D198" s="10" t="s">
        <v>30</v>
      </c>
      <c r="E198" s="46" t="s">
        <v>1514</v>
      </c>
      <c r="F198" s="46" t="s">
        <v>1515</v>
      </c>
      <c r="G198" s="16" t="s">
        <v>1516</v>
      </c>
      <c r="H198" s="16" t="s">
        <v>1517</v>
      </c>
      <c r="I198" s="152" t="s">
        <v>3046</v>
      </c>
      <c r="J198" s="16" t="s">
        <v>1518</v>
      </c>
      <c r="K198" s="16" t="s">
        <v>1478</v>
      </c>
      <c r="L198" s="10" t="s">
        <v>1520</v>
      </c>
      <c r="M198" s="10" t="s">
        <v>1522</v>
      </c>
      <c r="N198" s="10" t="s">
        <v>1523</v>
      </c>
      <c r="O198" s="10" t="s">
        <v>1524</v>
      </c>
      <c r="P198" s="35">
        <f>1/3</f>
        <v>0.33333333333333331</v>
      </c>
      <c r="Q198" s="25">
        <f>4/5</f>
        <v>0.8</v>
      </c>
    </row>
    <row r="199" spans="1:17" s="20" customFormat="1" ht="249.95" customHeight="1" x14ac:dyDescent="0.35">
      <c r="A199" s="10" t="s">
        <v>1042</v>
      </c>
      <c r="B199" s="10" t="s">
        <v>3028</v>
      </c>
      <c r="C199" s="10" t="s">
        <v>29</v>
      </c>
      <c r="D199" s="10" t="s">
        <v>30</v>
      </c>
      <c r="E199" s="46" t="s">
        <v>1514</v>
      </c>
      <c r="F199" s="46" t="s">
        <v>1525</v>
      </c>
      <c r="G199" s="16" t="s">
        <v>1526</v>
      </c>
      <c r="H199" s="16" t="s">
        <v>1527</v>
      </c>
      <c r="I199" s="65" t="s">
        <v>3046</v>
      </c>
      <c r="J199" s="16" t="s">
        <v>1528</v>
      </c>
      <c r="K199" s="16" t="s">
        <v>1478</v>
      </c>
      <c r="L199" s="10" t="s">
        <v>1529</v>
      </c>
      <c r="M199" s="63" t="s">
        <v>1530</v>
      </c>
      <c r="N199" s="10" t="s">
        <v>1531</v>
      </c>
      <c r="O199" s="10" t="s">
        <v>1532</v>
      </c>
      <c r="P199" s="123"/>
      <c r="Q199" s="124"/>
    </row>
    <row r="200" spans="1:17" s="20" customFormat="1" ht="249.95" customHeight="1" x14ac:dyDescent="0.35">
      <c r="A200" s="10" t="s">
        <v>1042</v>
      </c>
      <c r="B200" s="10" t="s">
        <v>3028</v>
      </c>
      <c r="C200" s="10" t="s">
        <v>17</v>
      </c>
      <c r="D200" s="46" t="s">
        <v>1090</v>
      </c>
      <c r="E200" s="46" t="s">
        <v>162</v>
      </c>
      <c r="F200" s="46" t="s">
        <v>162</v>
      </c>
      <c r="G200" s="16" t="s">
        <v>1533</v>
      </c>
      <c r="H200" s="16" t="s">
        <v>1534</v>
      </c>
      <c r="I200" s="152" t="s">
        <v>3046</v>
      </c>
      <c r="J200" s="16" t="s">
        <v>1535</v>
      </c>
      <c r="K200" s="16" t="s">
        <v>1478</v>
      </c>
      <c r="L200" s="10" t="s">
        <v>1536</v>
      </c>
      <c r="M200" s="10" t="s">
        <v>1537</v>
      </c>
      <c r="N200" s="27" t="s">
        <v>1538</v>
      </c>
      <c r="O200" s="10" t="s">
        <v>1539</v>
      </c>
      <c r="P200" s="128"/>
      <c r="Q200" s="129"/>
    </row>
    <row r="201" spans="1:17" s="20" customFormat="1" ht="249.95" customHeight="1" x14ac:dyDescent="0.35">
      <c r="A201" s="10" t="s">
        <v>1042</v>
      </c>
      <c r="B201" s="10" t="s">
        <v>3028</v>
      </c>
      <c r="C201" s="10" t="s">
        <v>29</v>
      </c>
      <c r="D201" s="10" t="s">
        <v>30</v>
      </c>
      <c r="E201" s="46" t="s">
        <v>414</v>
      </c>
      <c r="F201" s="46" t="s">
        <v>162</v>
      </c>
      <c r="G201" s="16" t="s">
        <v>1540</v>
      </c>
      <c r="H201" s="16" t="s">
        <v>1541</v>
      </c>
      <c r="I201" s="152" t="s">
        <v>3046</v>
      </c>
      <c r="J201" s="16" t="s">
        <v>1542</v>
      </c>
      <c r="K201" s="16" t="s">
        <v>1478</v>
      </c>
      <c r="L201" s="10" t="s">
        <v>1543</v>
      </c>
      <c r="M201" s="10" t="s">
        <v>1544</v>
      </c>
      <c r="N201" s="10" t="s">
        <v>1545</v>
      </c>
      <c r="O201" s="10" t="s">
        <v>1546</v>
      </c>
      <c r="P201" s="123"/>
      <c r="Q201" s="124"/>
    </row>
    <row r="202" spans="1:17" s="20" customFormat="1" ht="249.95" customHeight="1" x14ac:dyDescent="0.35">
      <c r="A202" s="10" t="s">
        <v>1042</v>
      </c>
      <c r="B202" s="10" t="s">
        <v>3028</v>
      </c>
      <c r="C202" s="10" t="s">
        <v>17</v>
      </c>
      <c r="D202" s="46" t="s">
        <v>399</v>
      </c>
      <c r="E202" s="46" t="s">
        <v>345</v>
      </c>
      <c r="F202" s="46" t="s">
        <v>345</v>
      </c>
      <c r="G202" s="16" t="s">
        <v>1547</v>
      </c>
      <c r="H202" s="16" t="s">
        <v>1548</v>
      </c>
      <c r="I202" s="152" t="s">
        <v>3046</v>
      </c>
      <c r="J202" s="16" t="s">
        <v>1549</v>
      </c>
      <c r="K202" s="16" t="s">
        <v>1478</v>
      </c>
      <c r="L202" s="10" t="s">
        <v>944</v>
      </c>
      <c r="M202" s="10" t="s">
        <v>1090</v>
      </c>
      <c r="N202" s="118"/>
      <c r="O202" s="10" t="s">
        <v>1550</v>
      </c>
      <c r="P202" s="130"/>
      <c r="Q202" s="131"/>
    </row>
    <row r="203" spans="1:17" s="20" customFormat="1" ht="249.95" customHeight="1" x14ac:dyDescent="0.35">
      <c r="A203" s="10" t="s">
        <v>1042</v>
      </c>
      <c r="B203" s="10" t="s">
        <v>3028</v>
      </c>
      <c r="C203" s="10" t="s">
        <v>17</v>
      </c>
      <c r="D203" s="46" t="s">
        <v>399</v>
      </c>
      <c r="E203" s="46" t="s">
        <v>345</v>
      </c>
      <c r="F203" s="46" t="s">
        <v>345</v>
      </c>
      <c r="G203" s="16" t="s">
        <v>1551</v>
      </c>
      <c r="H203" s="16" t="s">
        <v>1552</v>
      </c>
      <c r="I203" s="152" t="s">
        <v>3046</v>
      </c>
      <c r="J203" s="16" t="s">
        <v>1553</v>
      </c>
      <c r="K203" s="16" t="s">
        <v>1478</v>
      </c>
      <c r="L203" s="10" t="s">
        <v>1554</v>
      </c>
      <c r="M203" s="10" t="s">
        <v>1090</v>
      </c>
      <c r="N203" s="10" t="s">
        <v>1555</v>
      </c>
      <c r="O203" s="10" t="s">
        <v>1556</v>
      </c>
      <c r="P203" s="130"/>
      <c r="Q203" s="131"/>
    </row>
    <row r="204" spans="1:17" s="20" customFormat="1" ht="249.95" customHeight="1" x14ac:dyDescent="0.35">
      <c r="A204" s="10" t="s">
        <v>1042</v>
      </c>
      <c r="B204" s="10" t="s">
        <v>3028</v>
      </c>
      <c r="C204" s="10" t="s">
        <v>17</v>
      </c>
      <c r="D204" s="46" t="s">
        <v>414</v>
      </c>
      <c r="E204" s="46" t="s">
        <v>162</v>
      </c>
      <c r="F204" s="46" t="s">
        <v>1557</v>
      </c>
      <c r="G204" s="16" t="s">
        <v>1558</v>
      </c>
      <c r="H204" s="16" t="s">
        <v>1559</v>
      </c>
      <c r="I204" s="152" t="s">
        <v>3046</v>
      </c>
      <c r="J204" s="16" t="s">
        <v>1560</v>
      </c>
      <c r="K204" s="16" t="s">
        <v>1478</v>
      </c>
      <c r="L204" s="10" t="s">
        <v>1561</v>
      </c>
      <c r="M204" s="10" t="s">
        <v>1562</v>
      </c>
      <c r="N204" s="10" t="s">
        <v>1563</v>
      </c>
      <c r="O204" s="10" t="s">
        <v>1564</v>
      </c>
      <c r="P204" s="128"/>
      <c r="Q204" s="129"/>
    </row>
    <row r="205" spans="1:17" s="20" customFormat="1" ht="249.95" customHeight="1" x14ac:dyDescent="0.35">
      <c r="A205" s="10" t="s">
        <v>1042</v>
      </c>
      <c r="B205" s="10" t="s">
        <v>3028</v>
      </c>
      <c r="C205" s="10" t="s">
        <v>17</v>
      </c>
      <c r="D205" s="73" t="s">
        <v>1565</v>
      </c>
      <c r="E205" s="73" t="s">
        <v>1566</v>
      </c>
      <c r="F205" s="46" t="s">
        <v>1567</v>
      </c>
      <c r="G205" s="16" t="s">
        <v>1568</v>
      </c>
      <c r="H205" s="16" t="s">
        <v>1569</v>
      </c>
      <c r="I205" s="152" t="s">
        <v>3046</v>
      </c>
      <c r="J205" s="74" t="s">
        <v>1570</v>
      </c>
      <c r="K205" s="16" t="s">
        <v>247</v>
      </c>
      <c r="L205" s="10" t="s">
        <v>1571</v>
      </c>
      <c r="M205" s="10" t="s">
        <v>1572</v>
      </c>
      <c r="N205" s="82" t="s">
        <v>1573</v>
      </c>
      <c r="O205" s="10" t="s">
        <v>1574</v>
      </c>
      <c r="P205" s="35">
        <f>2/16</f>
        <v>0.125</v>
      </c>
      <c r="Q205" s="75">
        <f>41/48</f>
        <v>0.85416666666666663</v>
      </c>
    </row>
    <row r="206" spans="1:17" s="20" customFormat="1" ht="249.95" customHeight="1" x14ac:dyDescent="0.35">
      <c r="A206" s="10" t="s">
        <v>1042</v>
      </c>
      <c r="B206" s="10" t="s">
        <v>3028</v>
      </c>
      <c r="C206" s="10" t="s">
        <v>17</v>
      </c>
      <c r="D206" s="46" t="s">
        <v>349</v>
      </c>
      <c r="E206" s="46" t="s">
        <v>349</v>
      </c>
      <c r="F206" s="46" t="s">
        <v>349</v>
      </c>
      <c r="G206" s="16" t="s">
        <v>1575</v>
      </c>
      <c r="H206" s="16" t="s">
        <v>1576</v>
      </c>
      <c r="I206" s="152" t="s">
        <v>3046</v>
      </c>
      <c r="J206" s="16" t="s">
        <v>1577</v>
      </c>
      <c r="K206" s="16" t="s">
        <v>1478</v>
      </c>
      <c r="L206" s="10" t="s">
        <v>1578</v>
      </c>
      <c r="M206" s="10" t="s">
        <v>403</v>
      </c>
      <c r="N206" s="118"/>
      <c r="O206" s="10" t="s">
        <v>1579</v>
      </c>
      <c r="P206" s="132"/>
      <c r="Q206" s="133"/>
    </row>
    <row r="207" spans="1:17" s="36" customFormat="1" ht="249.95" customHeight="1" x14ac:dyDescent="0.35">
      <c r="A207" s="10" t="s">
        <v>1042</v>
      </c>
      <c r="B207" s="10" t="s">
        <v>3028</v>
      </c>
      <c r="C207" s="10" t="s">
        <v>17</v>
      </c>
      <c r="D207" s="46" t="s">
        <v>1580</v>
      </c>
      <c r="E207" s="46" t="s">
        <v>1581</v>
      </c>
      <c r="F207" s="46" t="s">
        <v>1581</v>
      </c>
      <c r="G207" s="16" t="s">
        <v>1582</v>
      </c>
      <c r="H207" s="16" t="s">
        <v>1583</v>
      </c>
      <c r="I207" s="152" t="s">
        <v>3046</v>
      </c>
      <c r="J207" s="16" t="s">
        <v>1584</v>
      </c>
      <c r="K207" s="16" t="s">
        <v>247</v>
      </c>
      <c r="L207" s="10" t="s">
        <v>1580</v>
      </c>
      <c r="M207" s="10" t="s">
        <v>1585</v>
      </c>
      <c r="N207" s="119"/>
      <c r="O207" s="10" t="s">
        <v>1586</v>
      </c>
      <c r="P207" s="128"/>
      <c r="Q207" s="129"/>
    </row>
    <row r="208" spans="1:17" s="20" customFormat="1" ht="249.95" customHeight="1" x14ac:dyDescent="0.35">
      <c r="A208" s="10" t="s">
        <v>1042</v>
      </c>
      <c r="B208" s="10" t="s">
        <v>3028</v>
      </c>
      <c r="C208" s="10" t="s">
        <v>17</v>
      </c>
      <c r="D208" s="46" t="s">
        <v>414</v>
      </c>
      <c r="E208" s="46" t="s">
        <v>1090</v>
      </c>
      <c r="F208" s="46" t="s">
        <v>1557</v>
      </c>
      <c r="G208" s="16" t="s">
        <v>1587</v>
      </c>
      <c r="H208" s="16" t="s">
        <v>1588</v>
      </c>
      <c r="I208" s="152" t="s">
        <v>3046</v>
      </c>
      <c r="J208" s="16" t="s">
        <v>1589</v>
      </c>
      <c r="K208" s="16" t="s">
        <v>1478</v>
      </c>
      <c r="L208" s="10" t="s">
        <v>1590</v>
      </c>
      <c r="M208" s="10" t="s">
        <v>1591</v>
      </c>
      <c r="N208" s="10" t="s">
        <v>1592</v>
      </c>
      <c r="O208" s="10" t="s">
        <v>1593</v>
      </c>
      <c r="P208" s="130"/>
      <c r="Q208" s="131"/>
    </row>
    <row r="209" spans="1:17" s="20" customFormat="1" ht="249.95" customHeight="1" x14ac:dyDescent="0.35">
      <c r="A209" s="10" t="s">
        <v>1042</v>
      </c>
      <c r="B209" s="10" t="s">
        <v>3028</v>
      </c>
      <c r="C209" s="10" t="s">
        <v>29</v>
      </c>
      <c r="D209" s="10" t="s">
        <v>30</v>
      </c>
      <c r="E209" s="46" t="s">
        <v>1090</v>
      </c>
      <c r="F209" s="46" t="s">
        <v>376</v>
      </c>
      <c r="G209" s="16" t="s">
        <v>1594</v>
      </c>
      <c r="H209" s="16" t="s">
        <v>1595</v>
      </c>
      <c r="I209" s="152" t="s">
        <v>3046</v>
      </c>
      <c r="J209" s="16" t="s">
        <v>1596</v>
      </c>
      <c r="K209" s="16" t="s">
        <v>1478</v>
      </c>
      <c r="L209" s="10" t="s">
        <v>1597</v>
      </c>
      <c r="M209" s="10" t="s">
        <v>1598</v>
      </c>
      <c r="N209" s="10" t="s">
        <v>1599</v>
      </c>
      <c r="O209" s="10" t="s">
        <v>1600</v>
      </c>
      <c r="P209" s="123"/>
      <c r="Q209" s="124"/>
    </row>
    <row r="210" spans="1:17" s="20" customFormat="1" ht="249.95" customHeight="1" x14ac:dyDescent="0.35">
      <c r="A210" s="10" t="s">
        <v>1042</v>
      </c>
      <c r="B210" s="10" t="s">
        <v>3028</v>
      </c>
      <c r="C210" s="10" t="s">
        <v>29</v>
      </c>
      <c r="D210" s="10" t="s">
        <v>30</v>
      </c>
      <c r="E210" s="46" t="s">
        <v>349</v>
      </c>
      <c r="F210" s="46" t="s">
        <v>162</v>
      </c>
      <c r="G210" s="16" t="s">
        <v>1601</v>
      </c>
      <c r="H210" s="16" t="s">
        <v>1602</v>
      </c>
      <c r="I210" s="152" t="s">
        <v>3046</v>
      </c>
      <c r="J210" s="16" t="s">
        <v>1603</v>
      </c>
      <c r="K210" s="16" t="s">
        <v>1478</v>
      </c>
      <c r="L210" s="10" t="s">
        <v>1604</v>
      </c>
      <c r="M210" s="10" t="s">
        <v>1605</v>
      </c>
      <c r="N210" s="10" t="s">
        <v>1606</v>
      </c>
      <c r="O210" s="10" t="s">
        <v>1607</v>
      </c>
      <c r="P210" s="123"/>
      <c r="Q210" s="124"/>
    </row>
    <row r="211" spans="1:17" s="20" customFormat="1" ht="249.95" customHeight="1" x14ac:dyDescent="0.35">
      <c r="A211" s="10" t="s">
        <v>1042</v>
      </c>
      <c r="B211" s="10" t="s">
        <v>3028</v>
      </c>
      <c r="C211" s="10" t="s">
        <v>17</v>
      </c>
      <c r="D211" s="46" t="s">
        <v>414</v>
      </c>
      <c r="E211" s="46" t="s">
        <v>1557</v>
      </c>
      <c r="F211" s="46" t="s">
        <v>1557</v>
      </c>
      <c r="G211" s="16" t="s">
        <v>1608</v>
      </c>
      <c r="H211" s="16" t="s">
        <v>1609</v>
      </c>
      <c r="I211" s="152" t="s">
        <v>3046</v>
      </c>
      <c r="J211" s="16" t="s">
        <v>1610</v>
      </c>
      <c r="K211" s="16" t="s">
        <v>1478</v>
      </c>
      <c r="L211" s="10" t="s">
        <v>1611</v>
      </c>
      <c r="M211" s="10" t="s">
        <v>162</v>
      </c>
      <c r="N211" s="10" t="s">
        <v>1606</v>
      </c>
      <c r="O211" s="10" t="s">
        <v>1612</v>
      </c>
      <c r="P211" s="130"/>
      <c r="Q211" s="131"/>
    </row>
    <row r="212" spans="1:17" s="20" customFormat="1" ht="249.95" customHeight="1" x14ac:dyDescent="0.35">
      <c r="A212" s="10" t="s">
        <v>1042</v>
      </c>
      <c r="B212" s="10" t="s">
        <v>3028</v>
      </c>
      <c r="C212" s="10" t="s">
        <v>17</v>
      </c>
      <c r="D212" s="46" t="s">
        <v>1613</v>
      </c>
      <c r="E212" s="46" t="s">
        <v>1614</v>
      </c>
      <c r="F212" s="46" t="s">
        <v>1614</v>
      </c>
      <c r="G212" s="16" t="s">
        <v>1615</v>
      </c>
      <c r="H212" s="16" t="s">
        <v>1616</v>
      </c>
      <c r="I212" s="152" t="s">
        <v>3046</v>
      </c>
      <c r="J212" s="16" t="s">
        <v>1617</v>
      </c>
      <c r="K212" s="16" t="s">
        <v>1478</v>
      </c>
      <c r="L212" s="10" t="s">
        <v>1618</v>
      </c>
      <c r="M212" s="10" t="s">
        <v>1619</v>
      </c>
      <c r="N212" s="27" t="s">
        <v>1620</v>
      </c>
      <c r="O212" s="10" t="s">
        <v>1621</v>
      </c>
      <c r="P212" s="35">
        <f>0/452</f>
        <v>0</v>
      </c>
      <c r="Q212" s="25">
        <f>753/452</f>
        <v>1.665929203539823</v>
      </c>
    </row>
    <row r="213" spans="1:17" s="20" customFormat="1" ht="249.95" customHeight="1" x14ac:dyDescent="0.35">
      <c r="A213" s="10" t="s">
        <v>1042</v>
      </c>
      <c r="B213" s="10" t="s">
        <v>3028</v>
      </c>
      <c r="C213" s="10" t="s">
        <v>29</v>
      </c>
      <c r="D213" s="10" t="s">
        <v>30</v>
      </c>
      <c r="E213" s="46" t="s">
        <v>1622</v>
      </c>
      <c r="F213" s="46" t="s">
        <v>1623</v>
      </c>
      <c r="G213" s="16" t="s">
        <v>1624</v>
      </c>
      <c r="H213" s="16" t="s">
        <v>1625</v>
      </c>
      <c r="I213" s="152" t="s">
        <v>3046</v>
      </c>
      <c r="J213" s="16" t="s">
        <v>1626</v>
      </c>
      <c r="K213" s="16" t="s">
        <v>1478</v>
      </c>
      <c r="L213" s="10" t="s">
        <v>1627</v>
      </c>
      <c r="M213" s="10" t="s">
        <v>1629</v>
      </c>
      <c r="N213" s="10" t="s">
        <v>1628</v>
      </c>
      <c r="O213" s="10" t="s">
        <v>1630</v>
      </c>
      <c r="P213" s="123"/>
      <c r="Q213" s="124"/>
    </row>
    <row r="214" spans="1:17" s="20" customFormat="1" ht="249.95" customHeight="1" x14ac:dyDescent="0.35">
      <c r="A214" s="10" t="s">
        <v>1042</v>
      </c>
      <c r="B214" s="10" t="s">
        <v>3028</v>
      </c>
      <c r="C214" s="10" t="s">
        <v>29</v>
      </c>
      <c r="D214" s="10" t="s">
        <v>30</v>
      </c>
      <c r="E214" s="46" t="s">
        <v>349</v>
      </c>
      <c r="F214" s="46" t="s">
        <v>349</v>
      </c>
      <c r="G214" s="16" t="s">
        <v>1631</v>
      </c>
      <c r="H214" s="16" t="s">
        <v>1632</v>
      </c>
      <c r="I214" s="152" t="s">
        <v>3046</v>
      </c>
      <c r="J214" s="16" t="s">
        <v>1633</v>
      </c>
      <c r="K214" s="16" t="s">
        <v>1478</v>
      </c>
      <c r="L214" s="10" t="s">
        <v>1634</v>
      </c>
      <c r="M214" s="10" t="s">
        <v>403</v>
      </c>
      <c r="N214" s="118"/>
      <c r="O214" s="10" t="s">
        <v>1635</v>
      </c>
      <c r="P214" s="123"/>
      <c r="Q214" s="124"/>
    </row>
    <row r="215" spans="1:17" s="20" customFormat="1" ht="249.95" customHeight="1" x14ac:dyDescent="0.35">
      <c r="A215" s="10" t="s">
        <v>1042</v>
      </c>
      <c r="B215" s="10" t="s">
        <v>3028</v>
      </c>
      <c r="C215" s="10" t="s">
        <v>29</v>
      </c>
      <c r="D215" s="10" t="s">
        <v>30</v>
      </c>
      <c r="E215" s="46" t="s">
        <v>349</v>
      </c>
      <c r="F215" s="46" t="s">
        <v>345</v>
      </c>
      <c r="G215" s="16" t="s">
        <v>1636</v>
      </c>
      <c r="H215" s="16" t="s">
        <v>1637</v>
      </c>
      <c r="I215" s="152" t="s">
        <v>3046</v>
      </c>
      <c r="J215" s="16" t="s">
        <v>1638</v>
      </c>
      <c r="K215" s="16" t="s">
        <v>1478</v>
      </c>
      <c r="L215" s="10" t="s">
        <v>1639</v>
      </c>
      <c r="M215" s="10" t="s">
        <v>1640</v>
      </c>
      <c r="N215" s="10" t="s">
        <v>1641</v>
      </c>
      <c r="O215" s="10" t="s">
        <v>1642</v>
      </c>
      <c r="P215" s="123"/>
      <c r="Q215" s="124"/>
    </row>
    <row r="216" spans="1:17" s="20" customFormat="1" ht="249.95" customHeight="1" x14ac:dyDescent="0.35">
      <c r="A216" s="10" t="s">
        <v>1042</v>
      </c>
      <c r="B216" s="10" t="s">
        <v>3028</v>
      </c>
      <c r="C216" s="10" t="s">
        <v>29</v>
      </c>
      <c r="D216" s="10" t="s">
        <v>30</v>
      </c>
      <c r="E216" s="46" t="s">
        <v>1479</v>
      </c>
      <c r="F216" s="46" t="s">
        <v>1643</v>
      </c>
      <c r="G216" s="16" t="s">
        <v>1644</v>
      </c>
      <c r="H216" s="16" t="s">
        <v>1645</v>
      </c>
      <c r="I216" s="152" t="s">
        <v>3046</v>
      </c>
      <c r="J216" s="16" t="s">
        <v>1646</v>
      </c>
      <c r="K216" s="16" t="s">
        <v>1478</v>
      </c>
      <c r="L216" s="10" t="s">
        <v>1647</v>
      </c>
      <c r="M216" s="10" t="s">
        <v>345</v>
      </c>
      <c r="N216" s="10" t="s">
        <v>376</v>
      </c>
      <c r="O216" s="10" t="s">
        <v>1648</v>
      </c>
      <c r="P216" s="35">
        <f>6/16</f>
        <v>0.375</v>
      </c>
      <c r="Q216" s="25">
        <f>18/24</f>
        <v>0.75</v>
      </c>
    </row>
    <row r="217" spans="1:17" s="36" customFormat="1" ht="249.95" customHeight="1" x14ac:dyDescent="0.35">
      <c r="A217" s="10" t="s">
        <v>1042</v>
      </c>
      <c r="B217" s="10" t="s">
        <v>3029</v>
      </c>
      <c r="C217" s="10" t="s">
        <v>17</v>
      </c>
      <c r="D217" s="46" t="s">
        <v>1649</v>
      </c>
      <c r="E217" s="46" t="s">
        <v>1650</v>
      </c>
      <c r="F217" s="46" t="s">
        <v>1651</v>
      </c>
      <c r="G217" s="16" t="s">
        <v>1652</v>
      </c>
      <c r="H217" s="16" t="s">
        <v>1653</v>
      </c>
      <c r="I217" s="152" t="s">
        <v>3046</v>
      </c>
      <c r="J217" s="16" t="s">
        <v>1654</v>
      </c>
      <c r="K217" s="16" t="s">
        <v>1183</v>
      </c>
      <c r="L217" s="10" t="s">
        <v>1655</v>
      </c>
      <c r="M217" s="10" t="s">
        <v>1656</v>
      </c>
      <c r="N217" s="27" t="s">
        <v>3014</v>
      </c>
      <c r="O217" s="10" t="s">
        <v>3013</v>
      </c>
      <c r="P217" s="33">
        <f>252503.26/250000</f>
        <v>1.01001304</v>
      </c>
      <c r="Q217" s="25">
        <f>725565.45/750000</f>
        <v>0.96742059999999996</v>
      </c>
    </row>
    <row r="218" spans="1:17" s="36" customFormat="1" ht="249.95" customHeight="1" x14ac:dyDescent="0.35">
      <c r="A218" s="10" t="s">
        <v>1042</v>
      </c>
      <c r="B218" s="10" t="s">
        <v>3029</v>
      </c>
      <c r="C218" s="10" t="s">
        <v>17</v>
      </c>
      <c r="D218" s="46" t="s">
        <v>1657</v>
      </c>
      <c r="E218" s="46" t="s">
        <v>1658</v>
      </c>
      <c r="F218" s="46" t="s">
        <v>1659</v>
      </c>
      <c r="G218" s="16" t="s">
        <v>1660</v>
      </c>
      <c r="H218" s="16" t="s">
        <v>1661</v>
      </c>
      <c r="I218" s="65" t="s">
        <v>3046</v>
      </c>
      <c r="J218" s="16" t="s">
        <v>1662</v>
      </c>
      <c r="K218" s="16" t="s">
        <v>1183</v>
      </c>
      <c r="L218" s="10" t="s">
        <v>1663</v>
      </c>
      <c r="M218" s="10" t="s">
        <v>1664</v>
      </c>
      <c r="N218" s="10" t="s">
        <v>2907</v>
      </c>
      <c r="O218" s="10" t="s">
        <v>2985</v>
      </c>
      <c r="P218" s="35">
        <f>23/75</f>
        <v>0.30666666666666664</v>
      </c>
      <c r="Q218" s="25">
        <f>197/225</f>
        <v>0.87555555555555553</v>
      </c>
    </row>
    <row r="219" spans="1:17" s="20" customFormat="1" ht="249.95" customHeight="1" x14ac:dyDescent="0.35">
      <c r="A219" s="10" t="s">
        <v>1042</v>
      </c>
      <c r="B219" s="10" t="s">
        <v>3029</v>
      </c>
      <c r="C219" s="10" t="s">
        <v>17</v>
      </c>
      <c r="D219" s="46" t="s">
        <v>1665</v>
      </c>
      <c r="E219" s="46" t="s">
        <v>1666</v>
      </c>
      <c r="F219" s="46" t="s">
        <v>1667</v>
      </c>
      <c r="G219" s="16" t="s">
        <v>1668</v>
      </c>
      <c r="H219" s="16" t="s">
        <v>1669</v>
      </c>
      <c r="I219" s="65" t="s">
        <v>3046</v>
      </c>
      <c r="J219" s="16" t="s">
        <v>1670</v>
      </c>
      <c r="K219" s="16" t="s">
        <v>1183</v>
      </c>
      <c r="L219" s="10" t="s">
        <v>1671</v>
      </c>
      <c r="M219" s="10" t="s">
        <v>1672</v>
      </c>
      <c r="N219" s="10" t="s">
        <v>2908</v>
      </c>
      <c r="O219" s="10" t="s">
        <v>2986</v>
      </c>
      <c r="P219" s="24">
        <f>940/1000</f>
        <v>0.94</v>
      </c>
      <c r="Q219" s="25">
        <f>3713/3000</f>
        <v>1.2376666666666667</v>
      </c>
    </row>
    <row r="220" spans="1:17" s="20" customFormat="1" ht="249.95" customHeight="1" x14ac:dyDescent="0.35">
      <c r="A220" s="10" t="s">
        <v>1042</v>
      </c>
      <c r="B220" s="10" t="s">
        <v>3029</v>
      </c>
      <c r="C220" s="10" t="s">
        <v>17</v>
      </c>
      <c r="D220" s="46" t="s">
        <v>1184</v>
      </c>
      <c r="E220" s="46" t="s">
        <v>1673</v>
      </c>
      <c r="F220" s="46" t="s">
        <v>1674</v>
      </c>
      <c r="G220" s="16" t="s">
        <v>1675</v>
      </c>
      <c r="H220" s="16" t="s">
        <v>1676</v>
      </c>
      <c r="I220" s="152" t="s">
        <v>3046</v>
      </c>
      <c r="J220" s="16" t="s">
        <v>1677</v>
      </c>
      <c r="K220" s="16" t="s">
        <v>1183</v>
      </c>
      <c r="L220" s="10" t="s">
        <v>1678</v>
      </c>
      <c r="M220" s="10" t="s">
        <v>1679</v>
      </c>
      <c r="N220" s="10" t="s">
        <v>1680</v>
      </c>
      <c r="O220" s="10" t="s">
        <v>2987</v>
      </c>
      <c r="P220" s="35">
        <f>6070.06/100000</f>
        <v>6.0700600000000007E-2</v>
      </c>
      <c r="Q220" s="43">
        <f>57981.44/300000</f>
        <v>0.19327146666666667</v>
      </c>
    </row>
    <row r="221" spans="1:17" s="20" customFormat="1" ht="249.95" customHeight="1" x14ac:dyDescent="0.35">
      <c r="A221" s="10" t="s">
        <v>1042</v>
      </c>
      <c r="B221" s="10" t="s">
        <v>3029</v>
      </c>
      <c r="C221" s="10" t="s">
        <v>29</v>
      </c>
      <c r="D221" s="10" t="s">
        <v>30</v>
      </c>
      <c r="E221" s="46" t="s">
        <v>1681</v>
      </c>
      <c r="F221" s="46" t="s">
        <v>1682</v>
      </c>
      <c r="G221" s="16" t="s">
        <v>1683</v>
      </c>
      <c r="H221" s="16" t="s">
        <v>1684</v>
      </c>
      <c r="I221" s="152" t="s">
        <v>3046</v>
      </c>
      <c r="J221" s="16" t="s">
        <v>1685</v>
      </c>
      <c r="K221" s="16" t="s">
        <v>1183</v>
      </c>
      <c r="L221" s="10" t="s">
        <v>1686</v>
      </c>
      <c r="M221" s="10" t="s">
        <v>1687</v>
      </c>
      <c r="N221" s="10" t="s">
        <v>1688</v>
      </c>
      <c r="O221" s="10" t="s">
        <v>1689</v>
      </c>
      <c r="P221" s="123"/>
      <c r="Q221" s="124"/>
    </row>
    <row r="222" spans="1:17" s="20" customFormat="1" ht="249.95" customHeight="1" x14ac:dyDescent="0.35">
      <c r="A222" s="10" t="s">
        <v>1042</v>
      </c>
      <c r="B222" s="10" t="s">
        <v>3029</v>
      </c>
      <c r="C222" s="10" t="s">
        <v>29</v>
      </c>
      <c r="D222" s="10" t="s">
        <v>30</v>
      </c>
      <c r="E222" s="46" t="s">
        <v>1690</v>
      </c>
      <c r="F222" s="46" t="s">
        <v>1690</v>
      </c>
      <c r="G222" s="16" t="s">
        <v>1691</v>
      </c>
      <c r="H222" s="16" t="s">
        <v>1692</v>
      </c>
      <c r="I222" s="152" t="s">
        <v>3046</v>
      </c>
      <c r="J222" s="16" t="s">
        <v>1693</v>
      </c>
      <c r="K222" s="16" t="s">
        <v>1183</v>
      </c>
      <c r="L222" s="10" t="s">
        <v>1694</v>
      </c>
      <c r="M222" s="10" t="s">
        <v>403</v>
      </c>
      <c r="N222" s="10">
        <v>0</v>
      </c>
      <c r="O222" s="10" t="s">
        <v>1695</v>
      </c>
      <c r="P222" s="35">
        <f>0/3</f>
        <v>0</v>
      </c>
      <c r="Q222" s="25">
        <f>5/3</f>
        <v>1.6666666666666667</v>
      </c>
    </row>
    <row r="223" spans="1:17" s="20" customFormat="1" ht="249.95" customHeight="1" x14ac:dyDescent="0.35">
      <c r="A223" s="10" t="s">
        <v>1042</v>
      </c>
      <c r="B223" s="10" t="s">
        <v>3029</v>
      </c>
      <c r="C223" s="10" t="s">
        <v>17</v>
      </c>
      <c r="D223" s="46" t="s">
        <v>1696</v>
      </c>
      <c r="E223" s="46" t="s">
        <v>1697</v>
      </c>
      <c r="F223" s="46" t="s">
        <v>1698</v>
      </c>
      <c r="G223" s="16" t="s">
        <v>1699</v>
      </c>
      <c r="H223" s="16" t="s">
        <v>1700</v>
      </c>
      <c r="I223" s="152" t="s">
        <v>3046</v>
      </c>
      <c r="J223" s="16" t="s">
        <v>1701</v>
      </c>
      <c r="K223" s="16" t="s">
        <v>1183</v>
      </c>
      <c r="L223" s="10" t="s">
        <v>1702</v>
      </c>
      <c r="M223" s="10" t="s">
        <v>1703</v>
      </c>
      <c r="N223" s="10">
        <v>0</v>
      </c>
      <c r="O223" s="10" t="s">
        <v>1702</v>
      </c>
      <c r="P223" s="38">
        <v>0</v>
      </c>
      <c r="Q223" s="37">
        <f>3653/9416</f>
        <v>0.38795666949872559</v>
      </c>
    </row>
    <row r="224" spans="1:17" s="20" customFormat="1" ht="249.95" customHeight="1" x14ac:dyDescent="0.35">
      <c r="A224" s="10" t="s">
        <v>1042</v>
      </c>
      <c r="B224" s="10" t="s">
        <v>3030</v>
      </c>
      <c r="C224" s="10" t="s">
        <v>29</v>
      </c>
      <c r="D224" s="10" t="s">
        <v>30</v>
      </c>
      <c r="E224" s="46" t="s">
        <v>1090</v>
      </c>
      <c r="F224" s="46" t="s">
        <v>162</v>
      </c>
      <c r="G224" s="16" t="s">
        <v>1704</v>
      </c>
      <c r="H224" s="16" t="s">
        <v>1705</v>
      </c>
      <c r="I224" s="152" t="s">
        <v>3046</v>
      </c>
      <c r="J224" s="16" t="s">
        <v>1706</v>
      </c>
      <c r="K224" s="16" t="s">
        <v>959</v>
      </c>
      <c r="L224" s="10" t="s">
        <v>349</v>
      </c>
      <c r="M224" s="10" t="s">
        <v>944</v>
      </c>
      <c r="N224" s="118"/>
      <c r="O224" s="10" t="s">
        <v>162</v>
      </c>
      <c r="P224" s="123"/>
      <c r="Q224" s="124"/>
    </row>
    <row r="225" spans="1:17" s="20" customFormat="1" ht="249.95" customHeight="1" x14ac:dyDescent="0.35">
      <c r="A225" s="10" t="s">
        <v>1042</v>
      </c>
      <c r="B225" s="10" t="s">
        <v>3030</v>
      </c>
      <c r="C225" s="10" t="s">
        <v>29</v>
      </c>
      <c r="D225" s="10" t="s">
        <v>30</v>
      </c>
      <c r="E225" s="46" t="s">
        <v>1707</v>
      </c>
      <c r="F225" s="46" t="s">
        <v>1708</v>
      </c>
      <c r="G225" s="16" t="s">
        <v>1709</v>
      </c>
      <c r="H225" s="16" t="s">
        <v>1710</v>
      </c>
      <c r="I225" s="152" t="s">
        <v>3046</v>
      </c>
      <c r="J225" s="16" t="s">
        <v>1711</v>
      </c>
      <c r="K225" s="16" t="s">
        <v>959</v>
      </c>
      <c r="L225" s="10" t="s">
        <v>1712</v>
      </c>
      <c r="M225" s="10" t="s">
        <v>1713</v>
      </c>
      <c r="N225" s="10" t="s">
        <v>1714</v>
      </c>
      <c r="O225" s="10" t="s">
        <v>1715</v>
      </c>
      <c r="P225" s="33">
        <f>18/2</f>
        <v>9</v>
      </c>
      <c r="Q225" s="25">
        <f>18/6</f>
        <v>3</v>
      </c>
    </row>
    <row r="226" spans="1:17" s="20" customFormat="1" ht="249.95" customHeight="1" x14ac:dyDescent="0.35">
      <c r="A226" s="10" t="s">
        <v>1042</v>
      </c>
      <c r="B226" s="10" t="s">
        <v>3030</v>
      </c>
      <c r="C226" s="10" t="s">
        <v>17</v>
      </c>
      <c r="D226" s="46" t="s">
        <v>1716</v>
      </c>
      <c r="E226" s="46" t="s">
        <v>1716</v>
      </c>
      <c r="F226" s="46" t="s">
        <v>1716</v>
      </c>
      <c r="G226" s="16" t="s">
        <v>1717</v>
      </c>
      <c r="H226" s="16" t="s">
        <v>1718</v>
      </c>
      <c r="I226" s="152" t="s">
        <v>3046</v>
      </c>
      <c r="J226" s="16" t="s">
        <v>1719</v>
      </c>
      <c r="K226" s="16" t="s">
        <v>959</v>
      </c>
      <c r="L226" s="10" t="s">
        <v>1720</v>
      </c>
      <c r="M226" s="10" t="s">
        <v>1721</v>
      </c>
      <c r="N226" s="10" t="s">
        <v>1722</v>
      </c>
      <c r="O226" s="10" t="s">
        <v>1722</v>
      </c>
      <c r="P226" s="25">
        <v>1</v>
      </c>
      <c r="Q226" s="25">
        <v>1</v>
      </c>
    </row>
    <row r="227" spans="1:17" s="20" customFormat="1" ht="249.95" customHeight="1" x14ac:dyDescent="0.35">
      <c r="A227" s="10" t="s">
        <v>1042</v>
      </c>
      <c r="B227" s="10" t="s">
        <v>3030</v>
      </c>
      <c r="C227" s="10" t="s">
        <v>29</v>
      </c>
      <c r="D227" s="10" t="s">
        <v>30</v>
      </c>
      <c r="E227" s="46" t="s">
        <v>1723</v>
      </c>
      <c r="F227" s="46" t="s">
        <v>349</v>
      </c>
      <c r="G227" s="16" t="s">
        <v>1724</v>
      </c>
      <c r="H227" s="16" t="s">
        <v>1725</v>
      </c>
      <c r="I227" s="152" t="s">
        <v>3046</v>
      </c>
      <c r="J227" s="16" t="s">
        <v>1726</v>
      </c>
      <c r="K227" s="16" t="s">
        <v>959</v>
      </c>
      <c r="L227" s="10" t="s">
        <v>1727</v>
      </c>
      <c r="M227" s="10" t="s">
        <v>1728</v>
      </c>
      <c r="N227" s="83">
        <v>0</v>
      </c>
      <c r="O227" s="10" t="s">
        <v>1729</v>
      </c>
      <c r="P227" s="60">
        <v>0</v>
      </c>
      <c r="Q227" s="25">
        <f>3/4</f>
        <v>0.75</v>
      </c>
    </row>
    <row r="228" spans="1:17" s="20" customFormat="1" ht="249.95" customHeight="1" x14ac:dyDescent="0.35">
      <c r="A228" s="10" t="s">
        <v>1042</v>
      </c>
      <c r="B228" s="10" t="s">
        <v>3030</v>
      </c>
      <c r="C228" s="10" t="s">
        <v>29</v>
      </c>
      <c r="D228" s="10" t="s">
        <v>30</v>
      </c>
      <c r="E228" s="10" t="s">
        <v>1090</v>
      </c>
      <c r="F228" s="10" t="s">
        <v>345</v>
      </c>
      <c r="G228" s="16" t="s">
        <v>1730</v>
      </c>
      <c r="H228" s="16" t="s">
        <v>1731</v>
      </c>
      <c r="I228" s="65" t="s">
        <v>3047</v>
      </c>
      <c r="J228" s="16" t="s">
        <v>1732</v>
      </c>
      <c r="K228" s="16" t="s">
        <v>959</v>
      </c>
      <c r="L228" s="10" t="s">
        <v>376</v>
      </c>
      <c r="M228" s="10" t="s">
        <v>403</v>
      </c>
      <c r="N228" s="10"/>
      <c r="O228" s="10" t="s">
        <v>1733</v>
      </c>
      <c r="P228" s="123"/>
      <c r="Q228" s="124"/>
    </row>
    <row r="229" spans="1:17" s="20" customFormat="1" ht="249.95" customHeight="1" x14ac:dyDescent="0.35">
      <c r="A229" s="10" t="s">
        <v>1042</v>
      </c>
      <c r="B229" s="10" t="s">
        <v>3030</v>
      </c>
      <c r="C229" s="10" t="s">
        <v>17</v>
      </c>
      <c r="D229" s="46" t="s">
        <v>762</v>
      </c>
      <c r="E229" s="46" t="s">
        <v>1734</v>
      </c>
      <c r="F229" s="46" t="s">
        <v>1735</v>
      </c>
      <c r="G229" s="16" t="s">
        <v>1736</v>
      </c>
      <c r="H229" s="16" t="s">
        <v>1737</v>
      </c>
      <c r="I229" s="152" t="s">
        <v>3046</v>
      </c>
      <c r="J229" s="16" t="s">
        <v>1738</v>
      </c>
      <c r="K229" s="16" t="s">
        <v>959</v>
      </c>
      <c r="L229" s="10" t="s">
        <v>1739</v>
      </c>
      <c r="M229" s="10" t="s">
        <v>1740</v>
      </c>
      <c r="N229" s="12" t="s">
        <v>2909</v>
      </c>
      <c r="O229" s="10" t="s">
        <v>2988</v>
      </c>
      <c r="P229" s="33">
        <f>206/12</f>
        <v>17.166666666666668</v>
      </c>
      <c r="Q229" s="25">
        <f>207/36</f>
        <v>5.75</v>
      </c>
    </row>
    <row r="230" spans="1:17" s="36" customFormat="1" ht="249.95" customHeight="1" x14ac:dyDescent="0.35">
      <c r="A230" s="10" t="s">
        <v>1042</v>
      </c>
      <c r="B230" s="10" t="s">
        <v>3030</v>
      </c>
      <c r="C230" s="10" t="s">
        <v>29</v>
      </c>
      <c r="D230" s="10" t="s">
        <v>30</v>
      </c>
      <c r="E230" s="46" t="s">
        <v>1741</v>
      </c>
      <c r="F230" s="46" t="s">
        <v>1742</v>
      </c>
      <c r="G230" s="16" t="s">
        <v>1743</v>
      </c>
      <c r="H230" s="16" t="s">
        <v>1744</v>
      </c>
      <c r="I230" s="152" t="s">
        <v>3046</v>
      </c>
      <c r="J230" s="16" t="s">
        <v>1745</v>
      </c>
      <c r="K230" s="16" t="s">
        <v>52</v>
      </c>
      <c r="L230" s="10" t="s">
        <v>1746</v>
      </c>
      <c r="M230" s="10" t="s">
        <v>1747</v>
      </c>
      <c r="N230" s="29" t="s">
        <v>1748</v>
      </c>
      <c r="O230" s="10" t="s">
        <v>1749</v>
      </c>
      <c r="P230" s="33">
        <f>20670/5000</f>
        <v>4.1340000000000003</v>
      </c>
      <c r="Q230" s="25">
        <f>62363/15000</f>
        <v>4.1575333333333333</v>
      </c>
    </row>
    <row r="231" spans="1:17" s="20" customFormat="1" ht="249.95" customHeight="1" x14ac:dyDescent="0.35">
      <c r="A231" s="10" t="s">
        <v>1042</v>
      </c>
      <c r="B231" s="10" t="s">
        <v>3030</v>
      </c>
      <c r="C231" s="10" t="s">
        <v>17</v>
      </c>
      <c r="D231" s="46" t="s">
        <v>414</v>
      </c>
      <c r="E231" s="46" t="s">
        <v>1557</v>
      </c>
      <c r="F231" s="46" t="s">
        <v>1557</v>
      </c>
      <c r="G231" s="16" t="s">
        <v>1750</v>
      </c>
      <c r="H231" s="16" t="s">
        <v>1751</v>
      </c>
      <c r="I231" s="152" t="s">
        <v>3046</v>
      </c>
      <c r="J231" s="16" t="s">
        <v>1752</v>
      </c>
      <c r="K231" s="16" t="s">
        <v>1478</v>
      </c>
      <c r="L231" s="10" t="s">
        <v>1753</v>
      </c>
      <c r="M231" s="10" t="s">
        <v>345</v>
      </c>
      <c r="N231" s="10" t="s">
        <v>1606</v>
      </c>
      <c r="O231" s="10" t="s">
        <v>1754</v>
      </c>
      <c r="P231" s="130"/>
      <c r="Q231" s="131"/>
    </row>
    <row r="232" spans="1:17" s="20" customFormat="1" ht="249.95" customHeight="1" x14ac:dyDescent="0.35">
      <c r="A232" s="10" t="s">
        <v>1042</v>
      </c>
      <c r="B232" s="10" t="s">
        <v>3030</v>
      </c>
      <c r="C232" s="10" t="s">
        <v>17</v>
      </c>
      <c r="D232" s="46" t="s">
        <v>1755</v>
      </c>
      <c r="E232" s="46" t="s">
        <v>1756</v>
      </c>
      <c r="F232" s="46" t="s">
        <v>1757</v>
      </c>
      <c r="G232" s="16" t="s">
        <v>1758</v>
      </c>
      <c r="H232" s="16" t="s">
        <v>1759</v>
      </c>
      <c r="I232" s="152" t="s">
        <v>3046</v>
      </c>
      <c r="J232" s="16" t="s">
        <v>1760</v>
      </c>
      <c r="K232" s="16" t="s">
        <v>52</v>
      </c>
      <c r="L232" s="10" t="s">
        <v>1761</v>
      </c>
      <c r="M232" s="10" t="s">
        <v>1762</v>
      </c>
      <c r="N232" s="27" t="s">
        <v>1763</v>
      </c>
      <c r="O232" s="10" t="s">
        <v>1764</v>
      </c>
      <c r="P232" s="35">
        <f>2274/8333</f>
        <v>0.27289091563662549</v>
      </c>
      <c r="Q232" s="25">
        <f>23957/25000</f>
        <v>0.95828000000000002</v>
      </c>
    </row>
    <row r="233" spans="1:17" s="20" customFormat="1" ht="249.95" customHeight="1" x14ac:dyDescent="0.35">
      <c r="A233" s="10" t="s">
        <v>1042</v>
      </c>
      <c r="B233" s="10" t="s">
        <v>3030</v>
      </c>
      <c r="C233" s="10" t="s">
        <v>17</v>
      </c>
      <c r="D233" s="46" t="s">
        <v>1765</v>
      </c>
      <c r="E233" s="46" t="s">
        <v>1766</v>
      </c>
      <c r="F233" s="46" t="s">
        <v>1767</v>
      </c>
      <c r="G233" s="16" t="s">
        <v>1768</v>
      </c>
      <c r="H233" s="16" t="s">
        <v>1769</v>
      </c>
      <c r="I233" s="152" t="s">
        <v>3046</v>
      </c>
      <c r="J233" s="16" t="s">
        <v>1770</v>
      </c>
      <c r="K233" s="16" t="s">
        <v>1041</v>
      </c>
      <c r="L233" s="10" t="s">
        <v>1771</v>
      </c>
      <c r="M233" s="10" t="s">
        <v>403</v>
      </c>
      <c r="N233" s="118"/>
      <c r="O233" s="10" t="s">
        <v>1772</v>
      </c>
      <c r="P233" s="132"/>
      <c r="Q233" s="133"/>
    </row>
    <row r="234" spans="1:17" s="20" customFormat="1" ht="249.95" customHeight="1" x14ac:dyDescent="0.35">
      <c r="A234" s="10" t="s">
        <v>1042</v>
      </c>
      <c r="B234" s="10" t="s">
        <v>3030</v>
      </c>
      <c r="C234" s="10" t="s">
        <v>17</v>
      </c>
      <c r="D234" s="46" t="s">
        <v>30</v>
      </c>
      <c r="E234" s="46" t="s">
        <v>399</v>
      </c>
      <c r="F234" s="46" t="s">
        <v>349</v>
      </c>
      <c r="G234" s="16" t="s">
        <v>1773</v>
      </c>
      <c r="H234" s="16" t="s">
        <v>1774</v>
      </c>
      <c r="I234" s="152" t="s">
        <v>3046</v>
      </c>
      <c r="J234" s="16" t="s">
        <v>1775</v>
      </c>
      <c r="K234" s="16" t="s">
        <v>1041</v>
      </c>
      <c r="L234" s="10" t="s">
        <v>167</v>
      </c>
      <c r="M234" s="10" t="s">
        <v>167</v>
      </c>
      <c r="N234" s="27" t="s">
        <v>399</v>
      </c>
      <c r="O234" s="10" t="s">
        <v>399</v>
      </c>
      <c r="P234" s="24">
        <f>3/4</f>
        <v>0.75</v>
      </c>
      <c r="Q234" s="25">
        <f>3/4</f>
        <v>0.75</v>
      </c>
    </row>
    <row r="235" spans="1:17" s="36" customFormat="1" ht="255" customHeight="1" x14ac:dyDescent="0.35">
      <c r="A235" s="10" t="s">
        <v>1042</v>
      </c>
      <c r="B235" s="10" t="s">
        <v>3030</v>
      </c>
      <c r="C235" s="10" t="s">
        <v>17</v>
      </c>
      <c r="D235" s="46" t="s">
        <v>1776</v>
      </c>
      <c r="E235" s="46" t="s">
        <v>1777</v>
      </c>
      <c r="F235" s="46" t="s">
        <v>1778</v>
      </c>
      <c r="G235" s="16" t="s">
        <v>1779</v>
      </c>
      <c r="H235" s="16" t="s">
        <v>1780</v>
      </c>
      <c r="I235" s="152" t="s">
        <v>3046</v>
      </c>
      <c r="J235" s="16" t="s">
        <v>1781</v>
      </c>
      <c r="K235" s="16" t="s">
        <v>52</v>
      </c>
      <c r="L235" s="10" t="s">
        <v>1782</v>
      </c>
      <c r="M235" s="10" t="s">
        <v>1783</v>
      </c>
      <c r="N235" s="10" t="s">
        <v>1784</v>
      </c>
      <c r="O235" s="10" t="s">
        <v>1785</v>
      </c>
      <c r="P235" s="35">
        <f>249/1666</f>
        <v>0.14945978391356543</v>
      </c>
      <c r="Q235" s="37">
        <f>3086/5000</f>
        <v>0.61719999999999997</v>
      </c>
    </row>
    <row r="236" spans="1:17" s="20" customFormat="1" ht="249.95" customHeight="1" x14ac:dyDescent="0.35">
      <c r="A236" s="10" t="s">
        <v>1786</v>
      </c>
      <c r="B236" s="10" t="s">
        <v>3031</v>
      </c>
      <c r="C236" s="10" t="s">
        <v>29</v>
      </c>
      <c r="D236" s="10" t="s">
        <v>30</v>
      </c>
      <c r="E236" s="16" t="s">
        <v>1787</v>
      </c>
      <c r="F236" s="16" t="s">
        <v>1788</v>
      </c>
      <c r="G236" s="16" t="s">
        <v>1789</v>
      </c>
      <c r="H236" s="16" t="s">
        <v>1790</v>
      </c>
      <c r="I236" s="152" t="s">
        <v>3046</v>
      </c>
      <c r="J236" s="16" t="s">
        <v>1791</v>
      </c>
      <c r="K236" s="16" t="s">
        <v>224</v>
      </c>
      <c r="L236" s="10" t="s">
        <v>1792</v>
      </c>
      <c r="M236" s="10" t="s">
        <v>1793</v>
      </c>
      <c r="N236" s="10" t="s">
        <v>1794</v>
      </c>
      <c r="O236" s="10" t="s">
        <v>1795</v>
      </c>
      <c r="P236" s="123"/>
      <c r="Q236" s="124"/>
    </row>
    <row r="237" spans="1:17" s="20" customFormat="1" ht="249.95" customHeight="1" x14ac:dyDescent="0.35">
      <c r="A237" s="10" t="s">
        <v>1786</v>
      </c>
      <c r="B237" s="10" t="s">
        <v>3031</v>
      </c>
      <c r="C237" s="10" t="s">
        <v>17</v>
      </c>
      <c r="D237" s="16" t="s">
        <v>1796</v>
      </c>
      <c r="E237" s="16" t="s">
        <v>1797</v>
      </c>
      <c r="F237" s="16" t="s">
        <v>1798</v>
      </c>
      <c r="G237" s="16" t="s">
        <v>1799</v>
      </c>
      <c r="H237" s="16" t="s">
        <v>1800</v>
      </c>
      <c r="I237" s="152" t="s">
        <v>3046</v>
      </c>
      <c r="J237" s="16" t="s">
        <v>1801</v>
      </c>
      <c r="K237" s="16" t="s">
        <v>224</v>
      </c>
      <c r="L237" s="10" t="s">
        <v>1802</v>
      </c>
      <c r="M237" s="10" t="s">
        <v>1803</v>
      </c>
      <c r="N237" s="10" t="s">
        <v>1804</v>
      </c>
      <c r="O237" s="10" t="s">
        <v>1805</v>
      </c>
      <c r="P237" s="33">
        <f>8/4</f>
        <v>2</v>
      </c>
      <c r="Q237" s="25">
        <f>14/12</f>
        <v>1.1666666666666667</v>
      </c>
    </row>
    <row r="238" spans="1:17" s="20" customFormat="1" ht="249.95" customHeight="1" x14ac:dyDescent="0.35">
      <c r="A238" s="10" t="s">
        <v>1786</v>
      </c>
      <c r="B238" s="10" t="s">
        <v>3031</v>
      </c>
      <c r="C238" s="10" t="s">
        <v>29</v>
      </c>
      <c r="D238" s="10" t="s">
        <v>30</v>
      </c>
      <c r="E238" s="16" t="s">
        <v>1806</v>
      </c>
      <c r="F238" s="16" t="s">
        <v>1807</v>
      </c>
      <c r="G238" s="16" t="s">
        <v>1808</v>
      </c>
      <c r="H238" s="16" t="s">
        <v>1809</v>
      </c>
      <c r="I238" s="152" t="s">
        <v>3046</v>
      </c>
      <c r="J238" s="16" t="s">
        <v>1810</v>
      </c>
      <c r="K238" s="16" t="s">
        <v>224</v>
      </c>
      <c r="L238" s="10" t="s">
        <v>1811</v>
      </c>
      <c r="M238" s="10" t="s">
        <v>1811</v>
      </c>
      <c r="N238" s="10" t="s">
        <v>1811</v>
      </c>
      <c r="O238" s="10" t="s">
        <v>1811</v>
      </c>
      <c r="P238" s="35">
        <f>0/10</f>
        <v>0</v>
      </c>
      <c r="Q238" s="35">
        <f>0/30</f>
        <v>0</v>
      </c>
    </row>
    <row r="239" spans="1:17" s="20" customFormat="1" ht="249.95" customHeight="1" x14ac:dyDescent="0.35">
      <c r="A239" s="10" t="s">
        <v>1786</v>
      </c>
      <c r="B239" s="10" t="s">
        <v>3031</v>
      </c>
      <c r="C239" s="10" t="s">
        <v>29</v>
      </c>
      <c r="D239" s="10" t="s">
        <v>30</v>
      </c>
      <c r="E239" s="16" t="s">
        <v>1812</v>
      </c>
      <c r="F239" s="16" t="s">
        <v>1813</v>
      </c>
      <c r="G239" s="16" t="s">
        <v>1814</v>
      </c>
      <c r="H239" s="16" t="s">
        <v>1815</v>
      </c>
      <c r="I239" s="152" t="s">
        <v>3046</v>
      </c>
      <c r="J239" s="16" t="s">
        <v>1816</v>
      </c>
      <c r="K239" s="16" t="s">
        <v>224</v>
      </c>
      <c r="L239" s="10" t="s">
        <v>1818</v>
      </c>
      <c r="M239" s="10" t="s">
        <v>1817</v>
      </c>
      <c r="N239" s="55" t="s">
        <v>1819</v>
      </c>
      <c r="O239" s="10" t="s">
        <v>1812</v>
      </c>
      <c r="P239" s="33">
        <f>3/3</f>
        <v>1</v>
      </c>
      <c r="Q239" s="25">
        <f>9/9</f>
        <v>1</v>
      </c>
    </row>
    <row r="240" spans="1:17" s="20" customFormat="1" ht="249.95" customHeight="1" x14ac:dyDescent="0.35">
      <c r="A240" s="10" t="s">
        <v>1786</v>
      </c>
      <c r="B240" s="10" t="s">
        <v>3031</v>
      </c>
      <c r="C240" s="10" t="s">
        <v>1820</v>
      </c>
      <c r="D240" s="10" t="s">
        <v>30</v>
      </c>
      <c r="E240" s="10" t="s">
        <v>30</v>
      </c>
      <c r="F240" s="16" t="s">
        <v>1821</v>
      </c>
      <c r="G240" s="16" t="s">
        <v>1822</v>
      </c>
      <c r="H240" s="16" t="s">
        <v>1823</v>
      </c>
      <c r="I240" s="152" t="s">
        <v>3046</v>
      </c>
      <c r="J240" s="16" t="s">
        <v>1824</v>
      </c>
      <c r="K240" s="16" t="s">
        <v>224</v>
      </c>
      <c r="L240" s="10" t="s">
        <v>1825</v>
      </c>
      <c r="M240" s="10" t="s">
        <v>1825</v>
      </c>
      <c r="N240" s="10" t="s">
        <v>1825</v>
      </c>
      <c r="O240" s="10" t="s">
        <v>1825</v>
      </c>
      <c r="P240" s="35">
        <f>0/2</f>
        <v>0</v>
      </c>
      <c r="Q240" s="43">
        <f>0/2</f>
        <v>0</v>
      </c>
    </row>
    <row r="241" spans="1:17" s="20" customFormat="1" ht="249.95" customHeight="1" x14ac:dyDescent="0.35">
      <c r="A241" s="10" t="s">
        <v>1786</v>
      </c>
      <c r="B241" s="10" t="s">
        <v>3031</v>
      </c>
      <c r="C241" s="10" t="s">
        <v>29</v>
      </c>
      <c r="D241" s="10" t="s">
        <v>30</v>
      </c>
      <c r="E241" s="16" t="s">
        <v>414</v>
      </c>
      <c r="F241" s="16" t="s">
        <v>399</v>
      </c>
      <c r="G241" s="16" t="s">
        <v>1826</v>
      </c>
      <c r="H241" s="16" t="s">
        <v>1827</v>
      </c>
      <c r="I241" s="152" t="s">
        <v>3046</v>
      </c>
      <c r="J241" s="16" t="s">
        <v>1828</v>
      </c>
      <c r="K241" s="16" t="s">
        <v>224</v>
      </c>
      <c r="L241" s="10" t="s">
        <v>1829</v>
      </c>
      <c r="M241" s="10" t="s">
        <v>167</v>
      </c>
      <c r="N241" s="10" t="s">
        <v>167</v>
      </c>
      <c r="O241" s="10" t="s">
        <v>1829</v>
      </c>
      <c r="P241" s="35">
        <f>0/1</f>
        <v>0</v>
      </c>
      <c r="Q241" s="37">
        <f>1/3</f>
        <v>0.33333333333333331</v>
      </c>
    </row>
    <row r="242" spans="1:17" s="20" customFormat="1" ht="249.95" customHeight="1" x14ac:dyDescent="0.35">
      <c r="A242" s="10" t="s">
        <v>1786</v>
      </c>
      <c r="B242" s="10" t="s">
        <v>3031</v>
      </c>
      <c r="C242" s="10" t="s">
        <v>29</v>
      </c>
      <c r="D242" s="10" t="s">
        <v>30</v>
      </c>
      <c r="E242" s="16" t="s">
        <v>414</v>
      </c>
      <c r="F242" s="16" t="s">
        <v>399</v>
      </c>
      <c r="G242" s="16" t="s">
        <v>1830</v>
      </c>
      <c r="H242" s="16" t="s">
        <v>1831</v>
      </c>
      <c r="I242" s="152" t="s">
        <v>3046</v>
      </c>
      <c r="J242" s="16" t="s">
        <v>1832</v>
      </c>
      <c r="K242" s="16" t="s">
        <v>224</v>
      </c>
      <c r="L242" s="10" t="s">
        <v>1833</v>
      </c>
      <c r="M242" s="10" t="s">
        <v>167</v>
      </c>
      <c r="N242" s="10" t="s">
        <v>167</v>
      </c>
      <c r="O242" s="10" t="s">
        <v>1833</v>
      </c>
      <c r="P242" s="35">
        <f>0/1</f>
        <v>0</v>
      </c>
      <c r="Q242" s="25">
        <f>3/3</f>
        <v>1</v>
      </c>
    </row>
    <row r="243" spans="1:17" s="20" customFormat="1" ht="249.95" customHeight="1" x14ac:dyDescent="0.35">
      <c r="A243" s="10" t="s">
        <v>1786</v>
      </c>
      <c r="B243" s="10" t="s">
        <v>3031</v>
      </c>
      <c r="C243" s="10" t="s">
        <v>17</v>
      </c>
      <c r="D243" s="16" t="s">
        <v>577</v>
      </c>
      <c r="E243" s="16" t="s">
        <v>1834</v>
      </c>
      <c r="F243" s="16" t="s">
        <v>1835</v>
      </c>
      <c r="G243" s="16" t="s">
        <v>1836</v>
      </c>
      <c r="H243" s="16" t="s">
        <v>1837</v>
      </c>
      <c r="I243" s="152" t="s">
        <v>3046</v>
      </c>
      <c r="J243" s="16" t="s">
        <v>1838</v>
      </c>
      <c r="K243" s="16" t="s">
        <v>224</v>
      </c>
      <c r="L243" s="10" t="s">
        <v>1839</v>
      </c>
      <c r="M243" s="10" t="s">
        <v>1840</v>
      </c>
      <c r="N243" s="10" t="s">
        <v>1841</v>
      </c>
      <c r="O243" s="10" t="s">
        <v>1842</v>
      </c>
      <c r="P243" s="24">
        <f>4/5</f>
        <v>0.8</v>
      </c>
      <c r="Q243" s="25">
        <f>14/15</f>
        <v>0.93333333333333335</v>
      </c>
    </row>
    <row r="244" spans="1:17" s="20" customFormat="1" ht="249.95" customHeight="1" x14ac:dyDescent="0.35">
      <c r="A244" s="10" t="s">
        <v>1786</v>
      </c>
      <c r="B244" s="10" t="s">
        <v>3031</v>
      </c>
      <c r="C244" s="10" t="s">
        <v>17</v>
      </c>
      <c r="D244" s="16" t="s">
        <v>1843</v>
      </c>
      <c r="E244" s="16" t="s">
        <v>1844</v>
      </c>
      <c r="F244" s="16" t="s">
        <v>1845</v>
      </c>
      <c r="G244" s="16" t="s">
        <v>1846</v>
      </c>
      <c r="H244" s="16" t="s">
        <v>1847</v>
      </c>
      <c r="I244" s="152" t="s">
        <v>3046</v>
      </c>
      <c r="J244" s="16" t="s">
        <v>1848</v>
      </c>
      <c r="K244" s="16" t="s">
        <v>224</v>
      </c>
      <c r="L244" s="10" t="s">
        <v>1849</v>
      </c>
      <c r="M244" s="10" t="s">
        <v>1850</v>
      </c>
      <c r="N244" s="10" t="s">
        <v>2910</v>
      </c>
      <c r="O244" s="10" t="s">
        <v>2989</v>
      </c>
      <c r="P244" s="54">
        <f>1240/200</f>
        <v>6.2</v>
      </c>
      <c r="Q244" s="25">
        <f>2057/600</f>
        <v>3.4283333333333332</v>
      </c>
    </row>
    <row r="245" spans="1:17" s="20" customFormat="1" ht="249.95" customHeight="1" x14ac:dyDescent="0.35">
      <c r="A245" s="10" t="s">
        <v>1786</v>
      </c>
      <c r="B245" s="10" t="s">
        <v>3031</v>
      </c>
      <c r="C245" s="10" t="s">
        <v>29</v>
      </c>
      <c r="D245" s="10" t="s">
        <v>30</v>
      </c>
      <c r="E245" s="16" t="s">
        <v>1851</v>
      </c>
      <c r="F245" s="16" t="s">
        <v>1852</v>
      </c>
      <c r="G245" s="16" t="s">
        <v>1853</v>
      </c>
      <c r="H245" s="16" t="s">
        <v>1854</v>
      </c>
      <c r="I245" s="152" t="s">
        <v>3046</v>
      </c>
      <c r="J245" s="16" t="s">
        <v>1855</v>
      </c>
      <c r="K245" s="16" t="s">
        <v>224</v>
      </c>
      <c r="L245" s="10" t="s">
        <v>1856</v>
      </c>
      <c r="M245" s="10" t="s">
        <v>1856</v>
      </c>
      <c r="N245" s="10" t="s">
        <v>1856</v>
      </c>
      <c r="O245" s="10" t="s">
        <v>1856</v>
      </c>
      <c r="P245" s="35">
        <f>0/1</f>
        <v>0</v>
      </c>
      <c r="Q245" s="43">
        <f>0/2</f>
        <v>0</v>
      </c>
    </row>
    <row r="246" spans="1:17" s="20" customFormat="1" ht="249.95" customHeight="1" x14ac:dyDescent="0.35">
      <c r="A246" s="10" t="s">
        <v>1786</v>
      </c>
      <c r="B246" s="10" t="s">
        <v>3031</v>
      </c>
      <c r="C246" s="10" t="s">
        <v>29</v>
      </c>
      <c r="D246" s="10" t="s">
        <v>30</v>
      </c>
      <c r="E246" s="16" t="s">
        <v>414</v>
      </c>
      <c r="F246" s="16" t="s">
        <v>399</v>
      </c>
      <c r="G246" s="16" t="s">
        <v>1857</v>
      </c>
      <c r="H246" s="16" t="s">
        <v>1858</v>
      </c>
      <c r="I246" s="152" t="s">
        <v>3046</v>
      </c>
      <c r="J246" s="16" t="s">
        <v>1859</v>
      </c>
      <c r="K246" s="16" t="s">
        <v>224</v>
      </c>
      <c r="L246" s="10" t="s">
        <v>1860</v>
      </c>
      <c r="M246" s="10" t="s">
        <v>1861</v>
      </c>
      <c r="N246" s="10" t="s">
        <v>1606</v>
      </c>
      <c r="O246" s="10" t="s">
        <v>1862</v>
      </c>
      <c r="P246" s="35">
        <f>0/1</f>
        <v>0</v>
      </c>
      <c r="Q246" s="25">
        <f>3/3</f>
        <v>1</v>
      </c>
    </row>
    <row r="247" spans="1:17" s="20" customFormat="1" ht="249.95" customHeight="1" x14ac:dyDescent="0.35">
      <c r="A247" s="10" t="s">
        <v>1786</v>
      </c>
      <c r="B247" s="10" t="s">
        <v>3031</v>
      </c>
      <c r="C247" s="10" t="s">
        <v>17</v>
      </c>
      <c r="D247" s="16" t="s">
        <v>1863</v>
      </c>
      <c r="E247" s="16" t="s">
        <v>1864</v>
      </c>
      <c r="F247" s="16" t="s">
        <v>1865</v>
      </c>
      <c r="G247" s="16" t="s">
        <v>1866</v>
      </c>
      <c r="H247" s="16" t="s">
        <v>1867</v>
      </c>
      <c r="I247" s="152" t="s">
        <v>3046</v>
      </c>
      <c r="J247" s="16" t="s">
        <v>1868</v>
      </c>
      <c r="K247" s="16" t="s">
        <v>224</v>
      </c>
      <c r="L247" s="10" t="s">
        <v>1869</v>
      </c>
      <c r="M247" s="10" t="s">
        <v>1870</v>
      </c>
      <c r="N247" s="10" t="s">
        <v>2911</v>
      </c>
      <c r="O247" s="10" t="s">
        <v>2990</v>
      </c>
      <c r="P247" s="33">
        <f>85/20</f>
        <v>4.25</v>
      </c>
      <c r="Q247" s="25">
        <f>315/60</f>
        <v>5.25</v>
      </c>
    </row>
    <row r="248" spans="1:17" s="20" customFormat="1" ht="249.95" customHeight="1" x14ac:dyDescent="0.35">
      <c r="A248" s="10" t="s">
        <v>1786</v>
      </c>
      <c r="B248" s="10" t="s">
        <v>3031</v>
      </c>
      <c r="C248" s="10" t="s">
        <v>17</v>
      </c>
      <c r="D248" s="16" t="s">
        <v>1871</v>
      </c>
      <c r="E248" s="16" t="s">
        <v>1872</v>
      </c>
      <c r="F248" s="16" t="s">
        <v>1873</v>
      </c>
      <c r="G248" s="16" t="s">
        <v>1874</v>
      </c>
      <c r="H248" s="16" t="s">
        <v>1875</v>
      </c>
      <c r="I248" s="152" t="s">
        <v>3046</v>
      </c>
      <c r="J248" s="16" t="s">
        <v>1876</v>
      </c>
      <c r="K248" s="16" t="s">
        <v>224</v>
      </c>
      <c r="L248" s="10" t="s">
        <v>1878</v>
      </c>
      <c r="M248" s="10" t="s">
        <v>1879</v>
      </c>
      <c r="N248" s="10" t="s">
        <v>1877</v>
      </c>
      <c r="O248" s="10" t="s">
        <v>1880</v>
      </c>
      <c r="P248" s="33">
        <f>1/4</f>
        <v>0.25</v>
      </c>
      <c r="Q248" s="37">
        <f>5/12</f>
        <v>0.41666666666666669</v>
      </c>
    </row>
    <row r="249" spans="1:17" s="20" customFormat="1" ht="249.95" customHeight="1" x14ac:dyDescent="0.35">
      <c r="A249" s="10" t="s">
        <v>1786</v>
      </c>
      <c r="B249" s="10" t="s">
        <v>3031</v>
      </c>
      <c r="C249" s="10" t="s">
        <v>29</v>
      </c>
      <c r="D249" s="10" t="s">
        <v>30</v>
      </c>
      <c r="E249" s="10" t="s">
        <v>414</v>
      </c>
      <c r="F249" s="10" t="s">
        <v>399</v>
      </c>
      <c r="G249" s="10" t="s">
        <v>1881</v>
      </c>
      <c r="H249" s="10" t="s">
        <v>1882</v>
      </c>
      <c r="I249" s="152" t="s">
        <v>3046</v>
      </c>
      <c r="J249" s="10" t="s">
        <v>1883</v>
      </c>
      <c r="K249" s="10" t="s">
        <v>224</v>
      </c>
      <c r="L249" s="10" t="s">
        <v>167</v>
      </c>
      <c r="M249" s="10" t="s">
        <v>167</v>
      </c>
      <c r="N249" s="10" t="s">
        <v>167</v>
      </c>
      <c r="O249" s="10" t="s">
        <v>167</v>
      </c>
      <c r="P249" s="35">
        <f>0/1</f>
        <v>0</v>
      </c>
      <c r="Q249" s="43">
        <f>0/3</f>
        <v>0</v>
      </c>
    </row>
    <row r="250" spans="1:17" s="20" customFormat="1" ht="249.95" customHeight="1" x14ac:dyDescent="0.35">
      <c r="A250" s="10" t="s">
        <v>1786</v>
      </c>
      <c r="B250" s="10" t="s">
        <v>3032</v>
      </c>
      <c r="C250" s="10" t="s">
        <v>17</v>
      </c>
      <c r="D250" s="16" t="s">
        <v>1885</v>
      </c>
      <c r="E250" s="16" t="s">
        <v>1886</v>
      </c>
      <c r="F250" s="16" t="s">
        <v>1887</v>
      </c>
      <c r="G250" s="16" t="s">
        <v>1888</v>
      </c>
      <c r="H250" s="16" t="s">
        <v>1889</v>
      </c>
      <c r="I250" s="152" t="s">
        <v>3046</v>
      </c>
      <c r="J250" s="16" t="s">
        <v>1890</v>
      </c>
      <c r="K250" s="16" t="s">
        <v>1884</v>
      </c>
      <c r="L250" s="10" t="s">
        <v>1891</v>
      </c>
      <c r="M250" s="10" t="s">
        <v>1892</v>
      </c>
      <c r="N250" s="27" t="s">
        <v>2912</v>
      </c>
      <c r="O250" s="10" t="s">
        <v>2991</v>
      </c>
      <c r="P250" s="33">
        <f>2269/60</f>
        <v>37.81666666666667</v>
      </c>
      <c r="Q250" s="75">
        <f>5782/180</f>
        <v>32.12222222222222</v>
      </c>
    </row>
    <row r="251" spans="1:17" s="20" customFormat="1" ht="249.95" customHeight="1" x14ac:dyDescent="0.35">
      <c r="A251" s="10" t="s">
        <v>1786</v>
      </c>
      <c r="B251" s="10" t="s">
        <v>3032</v>
      </c>
      <c r="C251" s="10" t="s">
        <v>17</v>
      </c>
      <c r="D251" s="16" t="s">
        <v>1893</v>
      </c>
      <c r="E251" s="16" t="s">
        <v>1894</v>
      </c>
      <c r="F251" s="16" t="s">
        <v>1895</v>
      </c>
      <c r="G251" s="16" t="s">
        <v>1896</v>
      </c>
      <c r="H251" s="16" t="s">
        <v>1897</v>
      </c>
      <c r="I251" s="152" t="s">
        <v>3046</v>
      </c>
      <c r="J251" s="16" t="s">
        <v>1898</v>
      </c>
      <c r="K251" s="16" t="s">
        <v>1884</v>
      </c>
      <c r="L251" s="10" t="s">
        <v>1899</v>
      </c>
      <c r="M251" s="10" t="s">
        <v>1900</v>
      </c>
      <c r="N251" s="10" t="s">
        <v>2913</v>
      </c>
      <c r="O251" s="10" t="s">
        <v>2992</v>
      </c>
      <c r="P251" s="33">
        <f>79/50</f>
        <v>1.58</v>
      </c>
      <c r="Q251" s="75">
        <f>253/150</f>
        <v>1.6866666666666668</v>
      </c>
    </row>
    <row r="252" spans="1:17" s="20" customFormat="1" ht="249.95" customHeight="1" x14ac:dyDescent="0.35">
      <c r="A252" s="10" t="s">
        <v>1786</v>
      </c>
      <c r="B252" s="10" t="s">
        <v>3032</v>
      </c>
      <c r="C252" s="10" t="s">
        <v>17</v>
      </c>
      <c r="D252" s="16" t="s">
        <v>1901</v>
      </c>
      <c r="E252" s="16" t="s">
        <v>1902</v>
      </c>
      <c r="F252" s="16" t="s">
        <v>1903</v>
      </c>
      <c r="G252" s="16" t="s">
        <v>1904</v>
      </c>
      <c r="H252" s="16" t="s">
        <v>1905</v>
      </c>
      <c r="I252" s="152" t="s">
        <v>3046</v>
      </c>
      <c r="J252" s="16" t="s">
        <v>1906</v>
      </c>
      <c r="K252" s="16" t="s">
        <v>1884</v>
      </c>
      <c r="L252" s="10" t="s">
        <v>1907</v>
      </c>
      <c r="M252" s="10" t="s">
        <v>1908</v>
      </c>
      <c r="N252" s="10">
        <v>0</v>
      </c>
      <c r="O252" s="10" t="s">
        <v>1909</v>
      </c>
      <c r="P252" s="84">
        <f>0/40</f>
        <v>0</v>
      </c>
      <c r="Q252" s="75">
        <f>535/480</f>
        <v>1.1145833333333333</v>
      </c>
    </row>
    <row r="253" spans="1:17" s="20" customFormat="1" ht="249.95" customHeight="1" x14ac:dyDescent="0.35">
      <c r="A253" s="10" t="s">
        <v>1786</v>
      </c>
      <c r="B253" s="10" t="s">
        <v>3032</v>
      </c>
      <c r="C253" s="10" t="s">
        <v>29</v>
      </c>
      <c r="D253" s="10" t="s">
        <v>30</v>
      </c>
      <c r="E253" s="16" t="s">
        <v>1910</v>
      </c>
      <c r="F253" s="16" t="s">
        <v>1911</v>
      </c>
      <c r="G253" s="16" t="s">
        <v>1912</v>
      </c>
      <c r="H253" s="16" t="s">
        <v>1913</v>
      </c>
      <c r="I253" s="152" t="s">
        <v>3046</v>
      </c>
      <c r="J253" s="16" t="s">
        <v>1914</v>
      </c>
      <c r="K253" s="16" t="s">
        <v>1884</v>
      </c>
      <c r="L253" s="10" t="s">
        <v>1915</v>
      </c>
      <c r="M253" s="10" t="s">
        <v>1916</v>
      </c>
      <c r="N253" s="10" t="s">
        <v>2914</v>
      </c>
      <c r="O253" s="10" t="s">
        <v>2993</v>
      </c>
      <c r="P253" s="33">
        <f>28/2</f>
        <v>14</v>
      </c>
      <c r="Q253" s="75">
        <f>45/6</f>
        <v>7.5</v>
      </c>
    </row>
    <row r="254" spans="1:17" s="20" customFormat="1" ht="249.95" customHeight="1" x14ac:dyDescent="0.35">
      <c r="A254" s="10" t="s">
        <v>1786</v>
      </c>
      <c r="B254" s="10" t="s">
        <v>3032</v>
      </c>
      <c r="C254" s="10" t="s">
        <v>29</v>
      </c>
      <c r="D254" s="10" t="s">
        <v>30</v>
      </c>
      <c r="E254" s="16" t="s">
        <v>1917</v>
      </c>
      <c r="F254" s="16" t="s">
        <v>1918</v>
      </c>
      <c r="G254" s="16" t="s">
        <v>1919</v>
      </c>
      <c r="H254" s="16" t="s">
        <v>1920</v>
      </c>
      <c r="I254" s="152" t="s">
        <v>3046</v>
      </c>
      <c r="J254" s="74" t="s">
        <v>1921</v>
      </c>
      <c r="K254" s="16" t="s">
        <v>1884</v>
      </c>
      <c r="L254" s="10" t="s">
        <v>1922</v>
      </c>
      <c r="M254" s="10" t="s">
        <v>1923</v>
      </c>
      <c r="N254" s="10" t="s">
        <v>1924</v>
      </c>
      <c r="O254" s="10" t="s">
        <v>1925</v>
      </c>
      <c r="P254" s="33">
        <f>77/33</f>
        <v>2.3333333333333335</v>
      </c>
      <c r="Q254" s="75">
        <f>182/100</f>
        <v>1.82</v>
      </c>
    </row>
    <row r="255" spans="1:17" s="20" customFormat="1" ht="249.95" customHeight="1" x14ac:dyDescent="0.35">
      <c r="A255" s="10" t="s">
        <v>1786</v>
      </c>
      <c r="B255" s="10" t="s">
        <v>3032</v>
      </c>
      <c r="C255" s="10" t="s">
        <v>17</v>
      </c>
      <c r="D255" s="16" t="s">
        <v>1926</v>
      </c>
      <c r="E255" s="16" t="s">
        <v>1927</v>
      </c>
      <c r="F255" s="16" t="s">
        <v>1928</v>
      </c>
      <c r="G255" s="16" t="s">
        <v>1929</v>
      </c>
      <c r="H255" s="16" t="s">
        <v>1930</v>
      </c>
      <c r="I255" s="152" t="s">
        <v>3046</v>
      </c>
      <c r="J255" s="16" t="s">
        <v>1931</v>
      </c>
      <c r="K255" s="16" t="s">
        <v>1884</v>
      </c>
      <c r="L255" s="10" t="s">
        <v>1932</v>
      </c>
      <c r="M255" s="10" t="s">
        <v>1933</v>
      </c>
      <c r="N255" s="10" t="s">
        <v>1934</v>
      </c>
      <c r="O255" s="10" t="s">
        <v>1935</v>
      </c>
      <c r="P255" s="85">
        <f>5614/50</f>
        <v>112.28</v>
      </c>
      <c r="Q255" s="86">
        <f>6439/150</f>
        <v>42.926666666666669</v>
      </c>
    </row>
    <row r="256" spans="1:17" s="20" customFormat="1" ht="249.95" customHeight="1" x14ac:dyDescent="0.35">
      <c r="A256" s="10" t="s">
        <v>1786</v>
      </c>
      <c r="B256" s="10" t="s">
        <v>3032</v>
      </c>
      <c r="C256" s="10" t="s">
        <v>17</v>
      </c>
      <c r="D256" s="87" t="s">
        <v>1936</v>
      </c>
      <c r="E256" s="87" t="s">
        <v>1936</v>
      </c>
      <c r="F256" s="87" t="s">
        <v>1936</v>
      </c>
      <c r="G256" s="16" t="s">
        <v>1937</v>
      </c>
      <c r="H256" s="16" t="s">
        <v>1938</v>
      </c>
      <c r="I256" s="152" t="s">
        <v>3047</v>
      </c>
      <c r="J256" s="16" t="s">
        <v>1939</v>
      </c>
      <c r="K256" s="16" t="s">
        <v>1884</v>
      </c>
      <c r="L256" s="10" t="s">
        <v>1940</v>
      </c>
      <c r="M256" s="10" t="s">
        <v>1941</v>
      </c>
      <c r="N256" s="10" t="s">
        <v>1942</v>
      </c>
      <c r="O256" s="10" t="s">
        <v>1942</v>
      </c>
      <c r="P256" s="88">
        <v>0.72689999999999999</v>
      </c>
      <c r="Q256" s="88">
        <v>0.72689999999999999</v>
      </c>
    </row>
    <row r="257" spans="1:17" s="20" customFormat="1" ht="249.95" customHeight="1" x14ac:dyDescent="0.35">
      <c r="A257" s="10" t="s">
        <v>1786</v>
      </c>
      <c r="B257" s="10" t="s">
        <v>3032</v>
      </c>
      <c r="C257" s="10" t="s">
        <v>17</v>
      </c>
      <c r="D257" s="16" t="s">
        <v>1943</v>
      </c>
      <c r="E257" s="16" t="s">
        <v>1944</v>
      </c>
      <c r="F257" s="16" t="s">
        <v>1945</v>
      </c>
      <c r="G257" s="16" t="s">
        <v>1946</v>
      </c>
      <c r="H257" s="16" t="s">
        <v>1947</v>
      </c>
      <c r="I257" s="152" t="s">
        <v>3046</v>
      </c>
      <c r="J257" s="16" t="s">
        <v>1948</v>
      </c>
      <c r="K257" s="16" t="s">
        <v>1949</v>
      </c>
      <c r="L257" s="10" t="s">
        <v>1950</v>
      </c>
      <c r="M257" s="10" t="s">
        <v>1951</v>
      </c>
      <c r="N257" s="10" t="s">
        <v>1952</v>
      </c>
      <c r="O257" s="10" t="s">
        <v>1953</v>
      </c>
      <c r="P257" s="33">
        <f>300/100</f>
        <v>3</v>
      </c>
      <c r="Q257" s="25">
        <f>663/300</f>
        <v>2.21</v>
      </c>
    </row>
    <row r="258" spans="1:17" s="20" customFormat="1" ht="249.95" customHeight="1" x14ac:dyDescent="0.35">
      <c r="A258" s="10" t="s">
        <v>1786</v>
      </c>
      <c r="B258" s="10" t="s">
        <v>3032</v>
      </c>
      <c r="C258" s="10" t="s">
        <v>29</v>
      </c>
      <c r="D258" s="10" t="s">
        <v>30</v>
      </c>
      <c r="E258" s="16" t="s">
        <v>1954</v>
      </c>
      <c r="F258" s="16" t="s">
        <v>1955</v>
      </c>
      <c r="G258" s="16" t="s">
        <v>1956</v>
      </c>
      <c r="H258" s="16" t="s">
        <v>1957</v>
      </c>
      <c r="I258" s="152" t="s">
        <v>3046</v>
      </c>
      <c r="J258" s="16" t="s">
        <v>992</v>
      </c>
      <c r="K258" s="16" t="s">
        <v>1949</v>
      </c>
      <c r="L258" s="10" t="s">
        <v>1959</v>
      </c>
      <c r="M258" s="10" t="s">
        <v>1960</v>
      </c>
      <c r="N258" s="10" t="s">
        <v>2915</v>
      </c>
      <c r="O258" s="10" t="s">
        <v>2994</v>
      </c>
      <c r="P258" s="71">
        <f>10/3</f>
        <v>3.3333333333333335</v>
      </c>
      <c r="Q258" s="41">
        <f>17/9</f>
        <v>1.8888888888888888</v>
      </c>
    </row>
    <row r="259" spans="1:17" s="20" customFormat="1" ht="249.95" customHeight="1" x14ac:dyDescent="0.35">
      <c r="A259" s="10" t="s">
        <v>1786</v>
      </c>
      <c r="B259" s="10" t="s">
        <v>3033</v>
      </c>
      <c r="C259" s="10" t="s">
        <v>29</v>
      </c>
      <c r="D259" s="10" t="s">
        <v>30</v>
      </c>
      <c r="E259" s="16" t="s">
        <v>1961</v>
      </c>
      <c r="F259" s="16" t="s">
        <v>1962</v>
      </c>
      <c r="G259" s="16" t="s">
        <v>1963</v>
      </c>
      <c r="H259" s="16" t="s">
        <v>1964</v>
      </c>
      <c r="I259" s="152" t="s">
        <v>3046</v>
      </c>
      <c r="J259" s="16" t="s">
        <v>1965</v>
      </c>
      <c r="K259" s="16" t="s">
        <v>1884</v>
      </c>
      <c r="L259" s="10" t="s">
        <v>1966</v>
      </c>
      <c r="M259" s="10" t="s">
        <v>1967</v>
      </c>
      <c r="N259" s="10" t="s">
        <v>2916</v>
      </c>
      <c r="O259" s="10" t="s">
        <v>2995</v>
      </c>
      <c r="P259" s="24">
        <f>90/100</f>
        <v>0.9</v>
      </c>
      <c r="Q259" s="75">
        <f>447/300</f>
        <v>1.49</v>
      </c>
    </row>
    <row r="260" spans="1:17" s="20" customFormat="1" ht="249.95" customHeight="1" x14ac:dyDescent="0.35">
      <c r="A260" s="10" t="s">
        <v>1786</v>
      </c>
      <c r="B260" s="10" t="s">
        <v>3033</v>
      </c>
      <c r="C260" s="10" t="s">
        <v>17</v>
      </c>
      <c r="D260" s="16" t="s">
        <v>1968</v>
      </c>
      <c r="E260" s="16" t="s">
        <v>1969</v>
      </c>
      <c r="F260" s="16" t="s">
        <v>1970</v>
      </c>
      <c r="G260" s="16" t="s">
        <v>1971</v>
      </c>
      <c r="H260" s="16" t="s">
        <v>1972</v>
      </c>
      <c r="I260" s="152" t="s">
        <v>3046</v>
      </c>
      <c r="J260" s="16" t="s">
        <v>1973</v>
      </c>
      <c r="K260" s="16" t="s">
        <v>1884</v>
      </c>
      <c r="L260" s="10" t="s">
        <v>1974</v>
      </c>
      <c r="M260" s="10" t="s">
        <v>1975</v>
      </c>
      <c r="N260" s="10" t="s">
        <v>1976</v>
      </c>
      <c r="O260" s="10" t="s">
        <v>1977</v>
      </c>
      <c r="P260" s="61">
        <f>6/12</f>
        <v>0.5</v>
      </c>
      <c r="Q260" s="75">
        <f>31/36</f>
        <v>0.86111111111111116</v>
      </c>
    </row>
    <row r="261" spans="1:17" s="20" customFormat="1" ht="249.95" customHeight="1" x14ac:dyDescent="0.35">
      <c r="A261" s="10" t="s">
        <v>1786</v>
      </c>
      <c r="B261" s="10" t="s">
        <v>3033</v>
      </c>
      <c r="C261" s="10" t="s">
        <v>29</v>
      </c>
      <c r="D261" s="10" t="s">
        <v>30</v>
      </c>
      <c r="E261" s="16" t="s">
        <v>1978</v>
      </c>
      <c r="F261" s="16" t="s">
        <v>1979</v>
      </c>
      <c r="G261" s="16" t="s">
        <v>1980</v>
      </c>
      <c r="H261" s="16" t="s">
        <v>1981</v>
      </c>
      <c r="I261" s="152" t="s">
        <v>3046</v>
      </c>
      <c r="J261" s="16" t="s">
        <v>1982</v>
      </c>
      <c r="K261" s="16" t="s">
        <v>1884</v>
      </c>
      <c r="L261" s="10" t="s">
        <v>1983</v>
      </c>
      <c r="M261" s="10" t="s">
        <v>1521</v>
      </c>
      <c r="N261" s="10" t="s">
        <v>1522</v>
      </c>
      <c r="O261" s="10" t="s">
        <v>1984</v>
      </c>
      <c r="P261" s="134"/>
      <c r="Q261" s="135"/>
    </row>
    <row r="262" spans="1:17" s="20" customFormat="1" ht="249.95" customHeight="1" x14ac:dyDescent="0.35">
      <c r="A262" s="10" t="s">
        <v>1786</v>
      </c>
      <c r="B262" s="10" t="s">
        <v>3033</v>
      </c>
      <c r="C262" s="10" t="s">
        <v>29</v>
      </c>
      <c r="D262" s="10" t="s">
        <v>30</v>
      </c>
      <c r="E262" s="16" t="s">
        <v>1985</v>
      </c>
      <c r="F262" s="16" t="s">
        <v>1986</v>
      </c>
      <c r="G262" s="16" t="s">
        <v>1987</v>
      </c>
      <c r="H262" s="16" t="s">
        <v>1988</v>
      </c>
      <c r="I262" s="152" t="s">
        <v>3046</v>
      </c>
      <c r="J262" s="74" t="s">
        <v>1989</v>
      </c>
      <c r="K262" s="16" t="s">
        <v>1884</v>
      </c>
      <c r="L262" s="10" t="s">
        <v>1990</v>
      </c>
      <c r="M262" s="10" t="s">
        <v>1991</v>
      </c>
      <c r="N262" s="10" t="s">
        <v>2917</v>
      </c>
      <c r="O262" s="10" t="s">
        <v>2996</v>
      </c>
      <c r="P262" s="33">
        <f>56/33</f>
        <v>1.696969696969697</v>
      </c>
      <c r="Q262" s="75">
        <f>90/100</f>
        <v>0.9</v>
      </c>
    </row>
    <row r="263" spans="1:17" s="20" customFormat="1" ht="249.95" customHeight="1" x14ac:dyDescent="0.35">
      <c r="A263" s="10" t="s">
        <v>1786</v>
      </c>
      <c r="B263" s="10" t="s">
        <v>3033</v>
      </c>
      <c r="C263" s="10" t="s">
        <v>1820</v>
      </c>
      <c r="D263" s="10" t="s">
        <v>30</v>
      </c>
      <c r="E263" s="10" t="s">
        <v>30</v>
      </c>
      <c r="F263" s="16" t="s">
        <v>1992</v>
      </c>
      <c r="G263" s="16" t="s">
        <v>1993</v>
      </c>
      <c r="H263" s="16" t="s">
        <v>1994</v>
      </c>
      <c r="I263" s="152" t="s">
        <v>3046</v>
      </c>
      <c r="J263" s="16" t="s">
        <v>1995</v>
      </c>
      <c r="K263" s="16" t="s">
        <v>1884</v>
      </c>
      <c r="L263" s="38" t="s">
        <v>1996</v>
      </c>
      <c r="M263" s="38" t="s">
        <v>1996</v>
      </c>
      <c r="N263" s="47">
        <v>1</v>
      </c>
      <c r="O263" s="38" t="s">
        <v>1997</v>
      </c>
      <c r="P263" s="81" t="s">
        <v>314</v>
      </c>
      <c r="Q263" s="78">
        <f>1/2</f>
        <v>0.5</v>
      </c>
    </row>
    <row r="264" spans="1:17" s="20" customFormat="1" ht="249.95" customHeight="1" x14ac:dyDescent="0.35">
      <c r="A264" s="10" t="s">
        <v>1786</v>
      </c>
      <c r="B264" s="10" t="s">
        <v>3033</v>
      </c>
      <c r="C264" s="10" t="s">
        <v>29</v>
      </c>
      <c r="D264" s="10" t="s">
        <v>30</v>
      </c>
      <c r="E264" s="16" t="s">
        <v>1998</v>
      </c>
      <c r="F264" s="16" t="s">
        <v>1999</v>
      </c>
      <c r="G264" s="16" t="s">
        <v>2000</v>
      </c>
      <c r="H264" s="16" t="s">
        <v>2001</v>
      </c>
      <c r="I264" s="152" t="s">
        <v>3046</v>
      </c>
      <c r="J264" s="16" t="s">
        <v>2002</v>
      </c>
      <c r="K264" s="16" t="s">
        <v>1884</v>
      </c>
      <c r="L264" s="10" t="s">
        <v>2003</v>
      </c>
      <c r="M264" s="10" t="s">
        <v>2003</v>
      </c>
      <c r="N264" s="10">
        <v>0</v>
      </c>
      <c r="O264" s="10" t="s">
        <v>2003</v>
      </c>
      <c r="P264" s="77">
        <v>0</v>
      </c>
      <c r="Q264" s="77">
        <f>0/3</f>
        <v>0</v>
      </c>
    </row>
    <row r="265" spans="1:17" s="20" customFormat="1" ht="249.95" customHeight="1" x14ac:dyDescent="0.35">
      <c r="A265" s="10" t="s">
        <v>1786</v>
      </c>
      <c r="B265" s="10" t="s">
        <v>3033</v>
      </c>
      <c r="C265" s="10" t="s">
        <v>29</v>
      </c>
      <c r="D265" s="10" t="s">
        <v>30</v>
      </c>
      <c r="E265" s="16" t="s">
        <v>2005</v>
      </c>
      <c r="F265" s="16" t="s">
        <v>2006</v>
      </c>
      <c r="G265" s="16" t="s">
        <v>2007</v>
      </c>
      <c r="H265" s="16" t="s">
        <v>2008</v>
      </c>
      <c r="I265" s="152" t="s">
        <v>3046</v>
      </c>
      <c r="J265" s="16" t="s">
        <v>2009</v>
      </c>
      <c r="K265" s="16" t="s">
        <v>1884</v>
      </c>
      <c r="L265" s="38" t="s">
        <v>2010</v>
      </c>
      <c r="M265" s="38" t="s">
        <v>2011</v>
      </c>
      <c r="N265" s="57" t="s">
        <v>2012</v>
      </c>
      <c r="O265" s="38" t="s">
        <v>2013</v>
      </c>
      <c r="P265" s="54">
        <f>262/50</f>
        <v>5.24</v>
      </c>
      <c r="Q265" s="75">
        <f>345/150</f>
        <v>2.2999999999999998</v>
      </c>
    </row>
    <row r="266" spans="1:17" s="20" customFormat="1" ht="249.95" customHeight="1" x14ac:dyDescent="0.35">
      <c r="A266" s="10" t="s">
        <v>1786</v>
      </c>
      <c r="B266" s="10" t="s">
        <v>3033</v>
      </c>
      <c r="C266" s="10" t="s">
        <v>29</v>
      </c>
      <c r="D266" s="10" t="s">
        <v>30</v>
      </c>
      <c r="E266" s="16" t="s">
        <v>2014</v>
      </c>
      <c r="F266" s="16" t="s">
        <v>2015</v>
      </c>
      <c r="G266" s="16" t="s">
        <v>2016</v>
      </c>
      <c r="H266" s="16" t="s">
        <v>2017</v>
      </c>
      <c r="I266" s="152" t="s">
        <v>3046</v>
      </c>
      <c r="J266" s="16" t="s">
        <v>2018</v>
      </c>
      <c r="K266" s="16" t="s">
        <v>1884</v>
      </c>
      <c r="L266" s="10" t="s">
        <v>2019</v>
      </c>
      <c r="M266" s="10" t="s">
        <v>1065</v>
      </c>
      <c r="N266" s="10">
        <v>0</v>
      </c>
      <c r="O266" s="10" t="s">
        <v>2020</v>
      </c>
      <c r="P266" s="60">
        <v>0</v>
      </c>
      <c r="Q266" s="89">
        <f>3989/1200</f>
        <v>3.3241666666666667</v>
      </c>
    </row>
    <row r="267" spans="1:17" s="20" customFormat="1" ht="249.95" customHeight="1" x14ac:dyDescent="0.35">
      <c r="A267" s="10" t="s">
        <v>1786</v>
      </c>
      <c r="B267" s="10" t="s">
        <v>3033</v>
      </c>
      <c r="C267" s="10" t="s">
        <v>29</v>
      </c>
      <c r="D267" s="10" t="s">
        <v>30</v>
      </c>
      <c r="E267" s="16" t="s">
        <v>1090</v>
      </c>
      <c r="F267" s="16" t="s">
        <v>162</v>
      </c>
      <c r="G267" s="16" t="s">
        <v>2021</v>
      </c>
      <c r="H267" s="16" t="s">
        <v>2022</v>
      </c>
      <c r="I267" s="152" t="s">
        <v>3046</v>
      </c>
      <c r="J267" s="16" t="s">
        <v>2023</v>
      </c>
      <c r="K267" s="16" t="s">
        <v>1884</v>
      </c>
      <c r="L267" s="10" t="s">
        <v>2024</v>
      </c>
      <c r="M267" s="10" t="s">
        <v>167</v>
      </c>
      <c r="N267" s="10">
        <v>0</v>
      </c>
      <c r="O267" s="10" t="s">
        <v>2024</v>
      </c>
      <c r="P267" s="60">
        <v>0</v>
      </c>
      <c r="Q267" s="77">
        <f>1/5</f>
        <v>0.2</v>
      </c>
    </row>
    <row r="268" spans="1:17" s="20" customFormat="1" ht="249.95" customHeight="1" x14ac:dyDescent="0.35">
      <c r="A268" s="10" t="s">
        <v>1786</v>
      </c>
      <c r="B268" s="10" t="s">
        <v>3033</v>
      </c>
      <c r="C268" s="10" t="s">
        <v>29</v>
      </c>
      <c r="D268" s="10" t="s">
        <v>30</v>
      </c>
      <c r="E268" s="16" t="s">
        <v>2025</v>
      </c>
      <c r="F268" s="16" t="s">
        <v>2026</v>
      </c>
      <c r="G268" s="16" t="s">
        <v>2027</v>
      </c>
      <c r="H268" s="16" t="s">
        <v>2028</v>
      </c>
      <c r="I268" s="152" t="s">
        <v>3046</v>
      </c>
      <c r="J268" s="16" t="s">
        <v>2029</v>
      </c>
      <c r="K268" s="16" t="s">
        <v>1884</v>
      </c>
      <c r="L268" s="10" t="s">
        <v>2030</v>
      </c>
      <c r="M268" s="10" t="s">
        <v>2030</v>
      </c>
      <c r="N268" s="10">
        <v>0</v>
      </c>
      <c r="O268" s="10" t="s">
        <v>2030</v>
      </c>
      <c r="P268" s="35">
        <v>0</v>
      </c>
      <c r="Q268" s="77">
        <f>0/81</f>
        <v>0</v>
      </c>
    </row>
    <row r="269" spans="1:17" s="20" customFormat="1" ht="249.95" customHeight="1" x14ac:dyDescent="0.35">
      <c r="A269" s="10" t="s">
        <v>1786</v>
      </c>
      <c r="B269" s="10" t="s">
        <v>3033</v>
      </c>
      <c r="C269" s="10" t="s">
        <v>29</v>
      </c>
      <c r="D269" s="10" t="s">
        <v>30</v>
      </c>
      <c r="E269" s="16" t="s">
        <v>1090</v>
      </c>
      <c r="F269" s="16" t="s">
        <v>162</v>
      </c>
      <c r="G269" s="16" t="s">
        <v>2031</v>
      </c>
      <c r="H269" s="16" t="s">
        <v>2032</v>
      </c>
      <c r="I269" s="152" t="s">
        <v>3046</v>
      </c>
      <c r="J269" s="16" t="s">
        <v>2033</v>
      </c>
      <c r="K269" s="16" t="s">
        <v>1884</v>
      </c>
      <c r="L269" s="10" t="s">
        <v>2034</v>
      </c>
      <c r="M269" s="10" t="s">
        <v>944</v>
      </c>
      <c r="N269" s="29">
        <v>0</v>
      </c>
      <c r="O269" s="10" t="s">
        <v>2035</v>
      </c>
      <c r="P269" s="35">
        <v>0</v>
      </c>
      <c r="Q269" s="78">
        <f>2/5</f>
        <v>0.4</v>
      </c>
    </row>
    <row r="270" spans="1:17" s="20" customFormat="1" ht="249.95" customHeight="1" x14ac:dyDescent="0.35">
      <c r="A270" s="10" t="s">
        <v>1786</v>
      </c>
      <c r="B270" s="10" t="s">
        <v>3033</v>
      </c>
      <c r="C270" s="10" t="s">
        <v>17</v>
      </c>
      <c r="D270" s="16" t="s">
        <v>2036</v>
      </c>
      <c r="E270" s="16" t="s">
        <v>2037</v>
      </c>
      <c r="F270" s="16" t="s">
        <v>2038</v>
      </c>
      <c r="G270" s="16" t="s">
        <v>2039</v>
      </c>
      <c r="H270" s="16" t="s">
        <v>2040</v>
      </c>
      <c r="I270" s="152" t="s">
        <v>3046</v>
      </c>
      <c r="J270" s="16" t="s">
        <v>2041</v>
      </c>
      <c r="K270" s="16" t="s">
        <v>1884</v>
      </c>
      <c r="L270" s="10" t="s">
        <v>2042</v>
      </c>
      <c r="M270" s="10" t="s">
        <v>2043</v>
      </c>
      <c r="N270" s="27" t="s">
        <v>2918</v>
      </c>
      <c r="O270" s="10" t="s">
        <v>2997</v>
      </c>
      <c r="P270" s="33">
        <f>102/50</f>
        <v>2.04</v>
      </c>
      <c r="Q270" s="75">
        <f>281/150</f>
        <v>1.8733333333333333</v>
      </c>
    </row>
    <row r="271" spans="1:17" s="20" customFormat="1" ht="249.95" customHeight="1" x14ac:dyDescent="0.35">
      <c r="A271" s="10" t="s">
        <v>1786</v>
      </c>
      <c r="B271" s="10" t="s">
        <v>3033</v>
      </c>
      <c r="C271" s="10" t="s">
        <v>29</v>
      </c>
      <c r="D271" s="10" t="s">
        <v>30</v>
      </c>
      <c r="E271" s="16" t="s">
        <v>2044</v>
      </c>
      <c r="F271" s="16" t="s">
        <v>2044</v>
      </c>
      <c r="G271" s="16" t="s">
        <v>2045</v>
      </c>
      <c r="H271" s="16" t="s">
        <v>2046</v>
      </c>
      <c r="I271" s="152" t="s">
        <v>3046</v>
      </c>
      <c r="J271" s="16" t="s">
        <v>2047</v>
      </c>
      <c r="K271" s="16" t="s">
        <v>1884</v>
      </c>
      <c r="L271" s="38" t="s">
        <v>2048</v>
      </c>
      <c r="M271" s="38" t="s">
        <v>1468</v>
      </c>
      <c r="N271" s="10" t="s">
        <v>1463</v>
      </c>
      <c r="O271" s="38" t="s">
        <v>2049</v>
      </c>
      <c r="P271" s="60">
        <f>1/4</f>
        <v>0.25</v>
      </c>
      <c r="Q271" s="75">
        <f>4/4</f>
        <v>1</v>
      </c>
    </row>
    <row r="272" spans="1:17" s="20" customFormat="1" ht="249.95" customHeight="1" x14ac:dyDescent="0.35">
      <c r="A272" s="10" t="s">
        <v>1786</v>
      </c>
      <c r="B272" s="10" t="s">
        <v>3033</v>
      </c>
      <c r="C272" s="10" t="s">
        <v>29</v>
      </c>
      <c r="D272" s="10" t="s">
        <v>30</v>
      </c>
      <c r="E272" s="16" t="s">
        <v>2050</v>
      </c>
      <c r="F272" s="16" t="s">
        <v>2051</v>
      </c>
      <c r="G272" s="16" t="s">
        <v>2052</v>
      </c>
      <c r="H272" s="16" t="s">
        <v>2053</v>
      </c>
      <c r="I272" s="152" t="s">
        <v>3046</v>
      </c>
      <c r="J272" s="16" t="s">
        <v>2054</v>
      </c>
      <c r="K272" s="16" t="s">
        <v>1884</v>
      </c>
      <c r="L272" s="10" t="s">
        <v>2055</v>
      </c>
      <c r="M272" s="10" t="s">
        <v>2056</v>
      </c>
      <c r="N272" s="118"/>
      <c r="O272" s="10" t="s">
        <v>2055</v>
      </c>
      <c r="P272" s="134"/>
      <c r="Q272" s="135"/>
    </row>
    <row r="273" spans="1:17" s="20" customFormat="1" ht="249.95" customHeight="1" x14ac:dyDescent="0.35">
      <c r="A273" s="10" t="s">
        <v>2058</v>
      </c>
      <c r="B273" s="10" t="s">
        <v>3034</v>
      </c>
      <c r="C273" s="10" t="s">
        <v>17</v>
      </c>
      <c r="D273" s="46" t="s">
        <v>2059</v>
      </c>
      <c r="E273" s="46" t="s">
        <v>2060</v>
      </c>
      <c r="F273" s="46" t="s">
        <v>2061</v>
      </c>
      <c r="G273" s="16" t="s">
        <v>2062</v>
      </c>
      <c r="H273" s="16" t="s">
        <v>2063</v>
      </c>
      <c r="I273" s="152" t="s">
        <v>3046</v>
      </c>
      <c r="J273" s="16" t="s">
        <v>2064</v>
      </c>
      <c r="K273" s="16" t="s">
        <v>2057</v>
      </c>
      <c r="L273" s="10" t="s">
        <v>2065</v>
      </c>
      <c r="M273" s="10" t="s">
        <v>2066</v>
      </c>
      <c r="N273" s="10" t="s">
        <v>2067</v>
      </c>
      <c r="O273" s="10" t="s">
        <v>2068</v>
      </c>
      <c r="P273" s="24">
        <f>42/50</f>
        <v>0.84</v>
      </c>
      <c r="Q273" s="25">
        <f>136/145</f>
        <v>0.93793103448275861</v>
      </c>
    </row>
    <row r="274" spans="1:17" s="20" customFormat="1" ht="249.95" customHeight="1" x14ac:dyDescent="0.35">
      <c r="A274" s="10" t="s">
        <v>2058</v>
      </c>
      <c r="B274" s="10" t="s">
        <v>3034</v>
      </c>
      <c r="C274" s="10" t="s">
        <v>29</v>
      </c>
      <c r="D274" s="46" t="s">
        <v>30</v>
      </c>
      <c r="E274" s="46" t="s">
        <v>2069</v>
      </c>
      <c r="F274" s="46" t="s">
        <v>2070</v>
      </c>
      <c r="G274" s="16" t="s">
        <v>2071</v>
      </c>
      <c r="H274" s="16" t="s">
        <v>2072</v>
      </c>
      <c r="I274" s="152" t="s">
        <v>3047</v>
      </c>
      <c r="J274" s="16" t="s">
        <v>2073</v>
      </c>
      <c r="K274" s="16" t="s">
        <v>2057</v>
      </c>
      <c r="L274" s="10" t="s">
        <v>2074</v>
      </c>
      <c r="M274" s="10" t="s">
        <v>2075</v>
      </c>
      <c r="N274" s="27" t="s">
        <v>2076</v>
      </c>
      <c r="O274" s="10" t="s">
        <v>2077</v>
      </c>
      <c r="P274" s="60">
        <f>130/116</f>
        <v>1.1206896551724137</v>
      </c>
      <c r="Q274" s="37">
        <f>314/350</f>
        <v>0.89714285714285713</v>
      </c>
    </row>
    <row r="275" spans="1:17" s="20" customFormat="1" ht="249.95" customHeight="1" x14ac:dyDescent="0.35">
      <c r="A275" s="10" t="s">
        <v>2058</v>
      </c>
      <c r="B275" s="10" t="s">
        <v>3034</v>
      </c>
      <c r="C275" s="10" t="s">
        <v>17</v>
      </c>
      <c r="D275" s="46" t="s">
        <v>1090</v>
      </c>
      <c r="E275" s="46" t="s">
        <v>345</v>
      </c>
      <c r="F275" s="46" t="s">
        <v>345</v>
      </c>
      <c r="G275" s="16" t="s">
        <v>2078</v>
      </c>
      <c r="H275" s="16" t="s">
        <v>2079</v>
      </c>
      <c r="I275" s="152" t="s">
        <v>3046</v>
      </c>
      <c r="J275" s="16" t="s">
        <v>2080</v>
      </c>
      <c r="K275" s="16" t="s">
        <v>2057</v>
      </c>
      <c r="L275" s="10" t="s">
        <v>345</v>
      </c>
      <c r="M275" s="10" t="s">
        <v>403</v>
      </c>
      <c r="N275" s="49"/>
      <c r="O275" s="10" t="s">
        <v>2081</v>
      </c>
      <c r="P275" s="123"/>
      <c r="Q275" s="124"/>
    </row>
    <row r="276" spans="1:17" s="20" customFormat="1" ht="249.95" customHeight="1" x14ac:dyDescent="0.35">
      <c r="A276" s="10" t="s">
        <v>2058</v>
      </c>
      <c r="B276" s="10" t="s">
        <v>3034</v>
      </c>
      <c r="C276" s="10"/>
      <c r="D276" s="46" t="s">
        <v>2082</v>
      </c>
      <c r="E276" s="46" t="s">
        <v>2083</v>
      </c>
      <c r="F276" s="46" t="s">
        <v>2084</v>
      </c>
      <c r="G276" s="16" t="s">
        <v>2085</v>
      </c>
      <c r="H276" s="16"/>
      <c r="I276" s="65" t="s">
        <v>3046</v>
      </c>
      <c r="J276" s="16"/>
      <c r="K276" s="16"/>
      <c r="L276" s="10">
        <v>0</v>
      </c>
      <c r="M276" s="10"/>
      <c r="N276" s="10" t="s">
        <v>2086</v>
      </c>
      <c r="O276" s="10" t="s">
        <v>2087</v>
      </c>
      <c r="P276" s="54">
        <f>31/12</f>
        <v>2.5833333333333335</v>
      </c>
      <c r="Q276" s="25">
        <f>39/36</f>
        <v>1.0833333333333333</v>
      </c>
    </row>
    <row r="277" spans="1:17" s="20" customFormat="1" ht="249.95" customHeight="1" x14ac:dyDescent="0.35">
      <c r="A277" s="10" t="s">
        <v>2058</v>
      </c>
      <c r="B277" s="10" t="s">
        <v>3034</v>
      </c>
      <c r="C277" s="10" t="s">
        <v>17</v>
      </c>
      <c r="D277" s="46" t="s">
        <v>2088</v>
      </c>
      <c r="E277" s="46" t="s">
        <v>2089</v>
      </c>
      <c r="F277" s="46" t="s">
        <v>2090</v>
      </c>
      <c r="G277" s="16" t="s">
        <v>2091</v>
      </c>
      <c r="H277" s="16" t="s">
        <v>2092</v>
      </c>
      <c r="I277" s="152" t="s">
        <v>3046</v>
      </c>
      <c r="J277" s="16" t="s">
        <v>2093</v>
      </c>
      <c r="K277" s="16" t="s">
        <v>2057</v>
      </c>
      <c r="L277" s="10" t="s">
        <v>2094</v>
      </c>
      <c r="M277" s="10" t="s">
        <v>2095</v>
      </c>
      <c r="N277" s="10" t="s">
        <v>2096</v>
      </c>
      <c r="O277" s="10" t="s">
        <v>2097</v>
      </c>
      <c r="P277" s="33">
        <f>151/20</f>
        <v>7.55</v>
      </c>
      <c r="Q277" s="25">
        <f>211/60</f>
        <v>3.5166666666666666</v>
      </c>
    </row>
    <row r="278" spans="1:17" s="20" customFormat="1" ht="249.95" customHeight="1" x14ac:dyDescent="0.35">
      <c r="A278" s="10" t="s">
        <v>2058</v>
      </c>
      <c r="B278" s="10" t="s">
        <v>3034</v>
      </c>
      <c r="C278" s="10" t="s">
        <v>17</v>
      </c>
      <c r="D278" s="46" t="s">
        <v>2098</v>
      </c>
      <c r="E278" s="46" t="s">
        <v>2099</v>
      </c>
      <c r="F278" s="46" t="s">
        <v>2100</v>
      </c>
      <c r="G278" s="16" t="s">
        <v>2101</v>
      </c>
      <c r="H278" s="16" t="s">
        <v>2102</v>
      </c>
      <c r="I278" s="152" t="s">
        <v>3046</v>
      </c>
      <c r="J278" s="16" t="s">
        <v>2103</v>
      </c>
      <c r="K278" s="16" t="s">
        <v>2057</v>
      </c>
      <c r="L278" s="10" t="s">
        <v>2104</v>
      </c>
      <c r="M278" s="10" t="s">
        <v>2105</v>
      </c>
      <c r="N278" s="10" t="s">
        <v>2106</v>
      </c>
      <c r="O278" s="10" t="s">
        <v>2107</v>
      </c>
      <c r="P278" s="33">
        <f>215/60</f>
        <v>3.5833333333333335</v>
      </c>
      <c r="Q278" s="25">
        <f>215/170</f>
        <v>1.2647058823529411</v>
      </c>
    </row>
    <row r="279" spans="1:17" s="20" customFormat="1" ht="249.95" customHeight="1" x14ac:dyDescent="0.35">
      <c r="A279" s="10" t="s">
        <v>2058</v>
      </c>
      <c r="B279" s="10" t="s">
        <v>3034</v>
      </c>
      <c r="C279" s="10" t="s">
        <v>17</v>
      </c>
      <c r="D279" s="46" t="s">
        <v>2108</v>
      </c>
      <c r="E279" s="46" t="s">
        <v>2109</v>
      </c>
      <c r="F279" s="46" t="s">
        <v>652</v>
      </c>
      <c r="G279" s="16" t="s">
        <v>2110</v>
      </c>
      <c r="H279" s="16" t="s">
        <v>2111</v>
      </c>
      <c r="I279" s="65" t="s">
        <v>3046</v>
      </c>
      <c r="J279" s="16" t="s">
        <v>2112</v>
      </c>
      <c r="K279" s="16" t="s">
        <v>2057</v>
      </c>
      <c r="L279" s="10" t="s">
        <v>2113</v>
      </c>
      <c r="M279" s="10" t="s">
        <v>2114</v>
      </c>
      <c r="N279" s="10" t="s">
        <v>2115</v>
      </c>
      <c r="O279" s="10" t="s">
        <v>2116</v>
      </c>
      <c r="P279" s="33">
        <f>5516/1200</f>
        <v>4.5966666666666667</v>
      </c>
      <c r="Q279" s="68">
        <f>8536/3000</f>
        <v>2.8453333333333335</v>
      </c>
    </row>
    <row r="280" spans="1:17" s="20" customFormat="1" ht="249.95" customHeight="1" x14ac:dyDescent="0.35">
      <c r="A280" s="10" t="s">
        <v>2058</v>
      </c>
      <c r="B280" s="10" t="s">
        <v>3034</v>
      </c>
      <c r="C280" s="10" t="s">
        <v>29</v>
      </c>
      <c r="D280" s="46" t="s">
        <v>30</v>
      </c>
      <c r="E280" s="46" t="s">
        <v>2117</v>
      </c>
      <c r="F280" s="46" t="s">
        <v>2118</v>
      </c>
      <c r="G280" s="16" t="s">
        <v>2119</v>
      </c>
      <c r="H280" s="16" t="s">
        <v>2120</v>
      </c>
      <c r="I280" s="152" t="s">
        <v>3046</v>
      </c>
      <c r="J280" s="16" t="s">
        <v>2121</v>
      </c>
      <c r="K280" s="16" t="s">
        <v>2057</v>
      </c>
      <c r="L280" s="10" t="s">
        <v>2122</v>
      </c>
      <c r="M280" s="10" t="s">
        <v>2123</v>
      </c>
      <c r="N280" s="10" t="s">
        <v>2124</v>
      </c>
      <c r="O280" s="10" t="s">
        <v>2125</v>
      </c>
      <c r="P280" s="33">
        <f>120/80</f>
        <v>1.5</v>
      </c>
      <c r="Q280" s="25">
        <f>234/240</f>
        <v>0.97499999999999998</v>
      </c>
    </row>
    <row r="281" spans="1:17" s="36" customFormat="1" ht="249.95" customHeight="1" x14ac:dyDescent="0.35">
      <c r="A281" s="10" t="s">
        <v>2058</v>
      </c>
      <c r="B281" s="10" t="s">
        <v>3034</v>
      </c>
      <c r="C281" s="10" t="s">
        <v>17</v>
      </c>
      <c r="D281" s="46" t="s">
        <v>979</v>
      </c>
      <c r="E281" s="46" t="s">
        <v>980</v>
      </c>
      <c r="F281" s="46" t="s">
        <v>981</v>
      </c>
      <c r="G281" s="16" t="s">
        <v>2126</v>
      </c>
      <c r="H281" s="16" t="s">
        <v>2127</v>
      </c>
      <c r="I281" s="152" t="s">
        <v>3046</v>
      </c>
      <c r="J281" s="16" t="s">
        <v>2128</v>
      </c>
      <c r="K281" s="16" t="s">
        <v>968</v>
      </c>
      <c r="L281" s="10" t="s">
        <v>2129</v>
      </c>
      <c r="M281" s="10" t="s">
        <v>2130</v>
      </c>
      <c r="N281" s="10" t="s">
        <v>2131</v>
      </c>
      <c r="O281" s="10" t="s">
        <v>2132</v>
      </c>
      <c r="P281" s="50">
        <f>4/8</f>
        <v>0.5</v>
      </c>
      <c r="Q281" s="41">
        <f>19/24</f>
        <v>0.79166666666666663</v>
      </c>
    </row>
    <row r="282" spans="1:17" s="36" customFormat="1" ht="249.95" customHeight="1" x14ac:dyDescent="0.35">
      <c r="A282" s="10" t="s">
        <v>2058</v>
      </c>
      <c r="B282" s="10" t="s">
        <v>3034</v>
      </c>
      <c r="C282" s="10" t="s">
        <v>17</v>
      </c>
      <c r="D282" s="46" t="s">
        <v>2133</v>
      </c>
      <c r="E282" s="46" t="s">
        <v>2134</v>
      </c>
      <c r="F282" s="46" t="s">
        <v>2135</v>
      </c>
      <c r="G282" s="16" t="s">
        <v>2136</v>
      </c>
      <c r="H282" s="16" t="s">
        <v>2137</v>
      </c>
      <c r="I282" s="65" t="s">
        <v>3046</v>
      </c>
      <c r="J282" s="16" t="s">
        <v>2138</v>
      </c>
      <c r="K282" s="16" t="s">
        <v>2057</v>
      </c>
      <c r="L282" s="10" t="s">
        <v>2139</v>
      </c>
      <c r="M282" s="10" t="s">
        <v>2140</v>
      </c>
      <c r="N282" s="10" t="s">
        <v>2141</v>
      </c>
      <c r="O282" s="10" t="s">
        <v>2142</v>
      </c>
      <c r="P282" s="33">
        <f>104/60</f>
        <v>1.7333333333333334</v>
      </c>
      <c r="Q282" s="25">
        <f>346/250</f>
        <v>1.3839999999999999</v>
      </c>
    </row>
    <row r="283" spans="1:17" s="36" customFormat="1" ht="249.95" customHeight="1" x14ac:dyDescent="0.35">
      <c r="A283" s="10" t="s">
        <v>2058</v>
      </c>
      <c r="B283" s="10" t="s">
        <v>3034</v>
      </c>
      <c r="C283" s="10" t="s">
        <v>17</v>
      </c>
      <c r="D283" s="46" t="s">
        <v>2143</v>
      </c>
      <c r="E283" s="46" t="s">
        <v>2144</v>
      </c>
      <c r="F283" s="46" t="s">
        <v>2145</v>
      </c>
      <c r="G283" s="16" t="s">
        <v>2146</v>
      </c>
      <c r="H283" s="16" t="s">
        <v>2147</v>
      </c>
      <c r="I283" s="152" t="s">
        <v>3046</v>
      </c>
      <c r="J283" s="16" t="s">
        <v>2148</v>
      </c>
      <c r="K283" s="16" t="s">
        <v>2057</v>
      </c>
      <c r="L283" s="10" t="s">
        <v>2149</v>
      </c>
      <c r="M283" s="10" t="s">
        <v>2150</v>
      </c>
      <c r="N283" s="10" t="s">
        <v>2151</v>
      </c>
      <c r="O283" s="10" t="s">
        <v>2152</v>
      </c>
      <c r="P283" s="24">
        <f>460/700</f>
        <v>0.65714285714285714</v>
      </c>
      <c r="Q283" s="25">
        <f>2137/2100</f>
        <v>1.0176190476190476</v>
      </c>
    </row>
    <row r="284" spans="1:17" s="20" customFormat="1" ht="249.95" customHeight="1" x14ac:dyDescent="0.35">
      <c r="A284" s="10" t="s">
        <v>2058</v>
      </c>
      <c r="B284" s="10" t="s">
        <v>3034</v>
      </c>
      <c r="C284" s="10" t="s">
        <v>17</v>
      </c>
      <c r="D284" s="46" t="s">
        <v>2153</v>
      </c>
      <c r="E284" s="46" t="s">
        <v>2153</v>
      </c>
      <c r="F284" s="46" t="s">
        <v>2153</v>
      </c>
      <c r="G284" s="16" t="s">
        <v>2154</v>
      </c>
      <c r="H284" s="16" t="s">
        <v>2155</v>
      </c>
      <c r="I284" s="152" t="s">
        <v>3046</v>
      </c>
      <c r="J284" s="16" t="s">
        <v>2156</v>
      </c>
      <c r="K284" s="16" t="s">
        <v>2057</v>
      </c>
      <c r="L284" s="10" t="s">
        <v>2157</v>
      </c>
      <c r="M284" s="10" t="s">
        <v>2158</v>
      </c>
      <c r="N284" s="38" t="s">
        <v>2159</v>
      </c>
      <c r="O284" s="38" t="s">
        <v>2159</v>
      </c>
      <c r="P284" s="25">
        <v>1</v>
      </c>
      <c r="Q284" s="25">
        <v>1</v>
      </c>
    </row>
    <row r="285" spans="1:17" s="20" customFormat="1" ht="249.95" customHeight="1" x14ac:dyDescent="0.35">
      <c r="A285" s="10" t="s">
        <v>2058</v>
      </c>
      <c r="B285" s="10" t="s">
        <v>3034</v>
      </c>
      <c r="C285" s="10" t="s">
        <v>17</v>
      </c>
      <c r="D285" s="46" t="s">
        <v>2160</v>
      </c>
      <c r="E285" s="46" t="s">
        <v>2161</v>
      </c>
      <c r="F285" s="46" t="s">
        <v>2162</v>
      </c>
      <c r="G285" s="16" t="s">
        <v>2163</v>
      </c>
      <c r="H285" s="16" t="s">
        <v>2164</v>
      </c>
      <c r="I285" s="152" t="s">
        <v>3046</v>
      </c>
      <c r="J285" s="16" t="s">
        <v>2165</v>
      </c>
      <c r="K285" s="16" t="s">
        <v>2057</v>
      </c>
      <c r="L285" s="10" t="s">
        <v>2166</v>
      </c>
      <c r="M285" s="10" t="s">
        <v>2167</v>
      </c>
      <c r="N285" s="10" t="s">
        <v>2168</v>
      </c>
      <c r="O285" s="10" t="s">
        <v>2998</v>
      </c>
      <c r="P285" s="33">
        <f>86/60</f>
        <v>1.4333333333333333</v>
      </c>
      <c r="Q285" s="25">
        <f>234/250</f>
        <v>0.93600000000000005</v>
      </c>
    </row>
    <row r="286" spans="1:17" s="20" customFormat="1" ht="249.95" customHeight="1" x14ac:dyDescent="0.35">
      <c r="A286" s="10" t="s">
        <v>2058</v>
      </c>
      <c r="B286" s="10" t="s">
        <v>3034</v>
      </c>
      <c r="C286" s="10" t="s">
        <v>29</v>
      </c>
      <c r="D286" s="46" t="s">
        <v>30</v>
      </c>
      <c r="E286" s="46" t="s">
        <v>2169</v>
      </c>
      <c r="F286" s="46" t="s">
        <v>2170</v>
      </c>
      <c r="G286" s="16" t="s">
        <v>2171</v>
      </c>
      <c r="H286" s="16" t="s">
        <v>2172</v>
      </c>
      <c r="I286" s="152" t="s">
        <v>3046</v>
      </c>
      <c r="J286" s="16" t="s">
        <v>849</v>
      </c>
      <c r="K286" s="16" t="s">
        <v>2057</v>
      </c>
      <c r="L286" s="10" t="s">
        <v>2173</v>
      </c>
      <c r="M286" s="10" t="s">
        <v>2174</v>
      </c>
      <c r="N286" s="10" t="s">
        <v>2175</v>
      </c>
      <c r="O286" s="10" t="s">
        <v>2176</v>
      </c>
      <c r="P286" s="33">
        <f>26/15</f>
        <v>1.7333333333333334</v>
      </c>
      <c r="Q286" s="25">
        <f>54/45</f>
        <v>1.2</v>
      </c>
    </row>
    <row r="287" spans="1:17" s="20" customFormat="1" ht="249.95" customHeight="1" x14ac:dyDescent="0.35">
      <c r="A287" s="10" t="s">
        <v>2058</v>
      </c>
      <c r="B287" s="10" t="s">
        <v>3034</v>
      </c>
      <c r="C287" s="10" t="s">
        <v>29</v>
      </c>
      <c r="D287" s="17" t="s">
        <v>30</v>
      </c>
      <c r="E287" s="17" t="s">
        <v>712</v>
      </c>
      <c r="F287" s="17" t="s">
        <v>2177</v>
      </c>
      <c r="G287" s="16" t="s">
        <v>2178</v>
      </c>
      <c r="H287" s="16" t="s">
        <v>2179</v>
      </c>
      <c r="I287" s="152" t="s">
        <v>3046</v>
      </c>
      <c r="J287" s="17" t="s">
        <v>2180</v>
      </c>
      <c r="K287" s="16" t="s">
        <v>24</v>
      </c>
      <c r="L287" s="10" t="s">
        <v>2181</v>
      </c>
      <c r="M287" s="10" t="s">
        <v>2182</v>
      </c>
      <c r="N287" s="10" t="s">
        <v>2183</v>
      </c>
      <c r="O287" s="10" t="s">
        <v>2999</v>
      </c>
      <c r="P287" s="33">
        <f>5/5</f>
        <v>1</v>
      </c>
      <c r="Q287" s="25">
        <f>11/10</f>
        <v>1.1000000000000001</v>
      </c>
    </row>
    <row r="288" spans="1:17" s="20" customFormat="1" ht="249.95" customHeight="1" x14ac:dyDescent="0.35">
      <c r="A288" s="10" t="s">
        <v>2058</v>
      </c>
      <c r="B288" s="10" t="s">
        <v>3034</v>
      </c>
      <c r="C288" s="10" t="s">
        <v>17</v>
      </c>
      <c r="D288" s="17" t="s">
        <v>30</v>
      </c>
      <c r="E288" s="17" t="s">
        <v>2184</v>
      </c>
      <c r="F288" s="17" t="s">
        <v>2185</v>
      </c>
      <c r="G288" s="16" t="s">
        <v>2186</v>
      </c>
      <c r="H288" s="16" t="s">
        <v>2187</v>
      </c>
      <c r="I288" s="152" t="s">
        <v>3046</v>
      </c>
      <c r="J288" s="17" t="s">
        <v>2188</v>
      </c>
      <c r="K288" s="16" t="s">
        <v>24</v>
      </c>
      <c r="L288" s="10" t="s">
        <v>1998</v>
      </c>
      <c r="M288" s="10" t="s">
        <v>2004</v>
      </c>
      <c r="N288" s="10" t="s">
        <v>2919</v>
      </c>
      <c r="O288" s="10" t="s">
        <v>3000</v>
      </c>
      <c r="P288" s="90">
        <f>3/1</f>
        <v>3</v>
      </c>
      <c r="Q288" s="25">
        <f>4/4</f>
        <v>1</v>
      </c>
    </row>
    <row r="289" spans="1:17" s="20" customFormat="1" ht="249.95" customHeight="1" x14ac:dyDescent="0.35">
      <c r="A289" s="10" t="s">
        <v>2058</v>
      </c>
      <c r="B289" s="10" t="s">
        <v>3034</v>
      </c>
      <c r="C289" s="10" t="s">
        <v>17</v>
      </c>
      <c r="D289" s="16" t="s">
        <v>2189</v>
      </c>
      <c r="E289" s="16" t="s">
        <v>1958</v>
      </c>
      <c r="F289" s="16" t="s">
        <v>2190</v>
      </c>
      <c r="G289" s="16" t="s">
        <v>2191</v>
      </c>
      <c r="H289" s="16" t="s">
        <v>2192</v>
      </c>
      <c r="I289" s="152" t="s">
        <v>3046</v>
      </c>
      <c r="J289" s="16" t="s">
        <v>2193</v>
      </c>
      <c r="K289" s="16" t="s">
        <v>2057</v>
      </c>
      <c r="L289" s="10" t="s">
        <v>2189</v>
      </c>
      <c r="M289" s="10" t="s">
        <v>2194</v>
      </c>
      <c r="N289" s="10" t="s">
        <v>2195</v>
      </c>
      <c r="O289" s="10" t="s">
        <v>2196</v>
      </c>
      <c r="P289" s="33">
        <f>3/2</f>
        <v>1.5</v>
      </c>
      <c r="Q289" s="25">
        <f>11/6</f>
        <v>1.8333333333333333</v>
      </c>
    </row>
    <row r="290" spans="1:17" s="20" customFormat="1" ht="249.95" customHeight="1" x14ac:dyDescent="0.35">
      <c r="A290" s="10" t="s">
        <v>2058</v>
      </c>
      <c r="B290" s="10" t="s">
        <v>3035</v>
      </c>
      <c r="C290" s="10" t="s">
        <v>17</v>
      </c>
      <c r="D290" s="16" t="s">
        <v>2197</v>
      </c>
      <c r="E290" s="16" t="s">
        <v>2198</v>
      </c>
      <c r="F290" s="16" t="s">
        <v>2199</v>
      </c>
      <c r="G290" s="16" t="s">
        <v>2200</v>
      </c>
      <c r="H290" s="16" t="s">
        <v>2201</v>
      </c>
      <c r="I290" s="152" t="s">
        <v>3046</v>
      </c>
      <c r="J290" s="16" t="s">
        <v>2202</v>
      </c>
      <c r="K290" s="16" t="s">
        <v>2057</v>
      </c>
      <c r="L290" s="10" t="s">
        <v>2203</v>
      </c>
      <c r="M290" s="10" t="s">
        <v>2204</v>
      </c>
      <c r="N290" s="10" t="s">
        <v>2205</v>
      </c>
      <c r="O290" s="10" t="s">
        <v>2206</v>
      </c>
      <c r="P290" s="33">
        <f>24/24</f>
        <v>1</v>
      </c>
      <c r="Q290" s="25">
        <f>91/72</f>
        <v>1.2638888888888888</v>
      </c>
    </row>
    <row r="291" spans="1:17" s="20" customFormat="1" ht="249.95" customHeight="1" x14ac:dyDescent="0.35">
      <c r="A291" s="10" t="s">
        <v>2058</v>
      </c>
      <c r="B291" s="10" t="s">
        <v>3035</v>
      </c>
      <c r="C291" s="10" t="s">
        <v>17</v>
      </c>
      <c r="D291" s="16" t="s">
        <v>2207</v>
      </c>
      <c r="E291" s="16" t="s">
        <v>2208</v>
      </c>
      <c r="F291" s="16" t="s">
        <v>2209</v>
      </c>
      <c r="G291" s="16" t="s">
        <v>2210</v>
      </c>
      <c r="H291" s="16" t="s">
        <v>2211</v>
      </c>
      <c r="I291" s="152" t="s">
        <v>3046</v>
      </c>
      <c r="J291" s="16" t="s">
        <v>469</v>
      </c>
      <c r="K291" s="16" t="s">
        <v>2057</v>
      </c>
      <c r="L291" s="10" t="s">
        <v>2212</v>
      </c>
      <c r="M291" s="10" t="s">
        <v>2213</v>
      </c>
      <c r="N291" s="10" t="s">
        <v>2214</v>
      </c>
      <c r="O291" s="10" t="s">
        <v>2215</v>
      </c>
      <c r="P291" s="33">
        <f>26/12</f>
        <v>2.1666666666666665</v>
      </c>
      <c r="Q291" s="25">
        <f>60/36</f>
        <v>1.6666666666666667</v>
      </c>
    </row>
    <row r="292" spans="1:17" s="20" customFormat="1" ht="249.95" customHeight="1" x14ac:dyDescent="0.35">
      <c r="A292" s="10" t="s">
        <v>2058</v>
      </c>
      <c r="B292" s="10" t="s">
        <v>3035</v>
      </c>
      <c r="C292" s="10" t="s">
        <v>29</v>
      </c>
      <c r="D292" s="10" t="s">
        <v>30</v>
      </c>
      <c r="E292" s="91" t="s">
        <v>2216</v>
      </c>
      <c r="F292" s="16" t="s">
        <v>2217</v>
      </c>
      <c r="G292" s="16" t="s">
        <v>2218</v>
      </c>
      <c r="H292" s="16" t="s">
        <v>2219</v>
      </c>
      <c r="I292" s="152" t="s">
        <v>3046</v>
      </c>
      <c r="J292" s="16" t="s">
        <v>2220</v>
      </c>
      <c r="K292" s="16" t="s">
        <v>2057</v>
      </c>
      <c r="L292" s="10" t="s">
        <v>2221</v>
      </c>
      <c r="M292" s="10" t="s">
        <v>2222</v>
      </c>
      <c r="N292" s="10" t="s">
        <v>2223</v>
      </c>
      <c r="O292" s="10" t="s">
        <v>2224</v>
      </c>
      <c r="P292" s="54">
        <f>272/50</f>
        <v>5.44</v>
      </c>
      <c r="Q292" s="25">
        <f>475/100</f>
        <v>4.75</v>
      </c>
    </row>
    <row r="293" spans="1:17" s="20" customFormat="1" ht="249.95" customHeight="1" x14ac:dyDescent="0.35">
      <c r="A293" s="10" t="s">
        <v>2058</v>
      </c>
      <c r="B293" s="10" t="s">
        <v>3036</v>
      </c>
      <c r="C293" s="10" t="s">
        <v>29</v>
      </c>
      <c r="D293" s="10" t="s">
        <v>30</v>
      </c>
      <c r="E293" s="16" t="s">
        <v>2225</v>
      </c>
      <c r="F293" s="16" t="s">
        <v>2226</v>
      </c>
      <c r="G293" s="16" t="s">
        <v>2227</v>
      </c>
      <c r="H293" s="16" t="s">
        <v>2228</v>
      </c>
      <c r="I293" s="152" t="s">
        <v>3046</v>
      </c>
      <c r="J293" s="16" t="s">
        <v>2229</v>
      </c>
      <c r="K293" s="16" t="s">
        <v>2057</v>
      </c>
      <c r="L293" s="10" t="s">
        <v>2230</v>
      </c>
      <c r="M293" s="10" t="s">
        <v>2231</v>
      </c>
      <c r="N293" s="10" t="s">
        <v>2920</v>
      </c>
      <c r="O293" s="10" t="s">
        <v>2232</v>
      </c>
      <c r="P293" s="90">
        <f>5/3</f>
        <v>1.6666666666666667</v>
      </c>
      <c r="Q293" s="25">
        <f>35/9</f>
        <v>3.8888888888888888</v>
      </c>
    </row>
    <row r="294" spans="1:17" s="20" customFormat="1" ht="249.95" customHeight="1" x14ac:dyDescent="0.35">
      <c r="A294" s="10" t="s">
        <v>2058</v>
      </c>
      <c r="B294" s="10" t="s">
        <v>3036</v>
      </c>
      <c r="C294" s="10" t="s">
        <v>17</v>
      </c>
      <c r="D294" s="16" t="s">
        <v>2233</v>
      </c>
      <c r="E294" s="16" t="s">
        <v>2234</v>
      </c>
      <c r="F294" s="16" t="s">
        <v>2235</v>
      </c>
      <c r="G294" s="16" t="s">
        <v>2236</v>
      </c>
      <c r="H294" s="16" t="s">
        <v>2237</v>
      </c>
      <c r="I294" s="152" t="s">
        <v>3046</v>
      </c>
      <c r="J294" s="16" t="s">
        <v>2238</v>
      </c>
      <c r="K294" s="16" t="s">
        <v>2057</v>
      </c>
      <c r="L294" s="10" t="s">
        <v>2239</v>
      </c>
      <c r="M294" s="10" t="s">
        <v>2240</v>
      </c>
      <c r="N294" s="10" t="s">
        <v>2241</v>
      </c>
      <c r="O294" s="10" t="s">
        <v>3001</v>
      </c>
      <c r="P294" s="24">
        <f>7/8</f>
        <v>0.875</v>
      </c>
      <c r="Q294" s="25">
        <f>24/24</f>
        <v>1</v>
      </c>
    </row>
    <row r="295" spans="1:17" s="20" customFormat="1" ht="249.95" customHeight="1" x14ac:dyDescent="0.35">
      <c r="A295" s="10" t="s">
        <v>2058</v>
      </c>
      <c r="B295" s="10" t="s">
        <v>3036</v>
      </c>
      <c r="C295" s="10" t="s">
        <v>17</v>
      </c>
      <c r="D295" s="16" t="s">
        <v>939</v>
      </c>
      <c r="E295" s="16" t="s">
        <v>2242</v>
      </c>
      <c r="F295" s="16" t="s">
        <v>2243</v>
      </c>
      <c r="G295" s="16" t="s">
        <v>2244</v>
      </c>
      <c r="H295" s="16" t="s">
        <v>2245</v>
      </c>
      <c r="I295" s="152" t="s">
        <v>3046</v>
      </c>
      <c r="J295" s="16" t="s">
        <v>2246</v>
      </c>
      <c r="K295" s="16" t="s">
        <v>2057</v>
      </c>
      <c r="L295" s="10" t="s">
        <v>2247</v>
      </c>
      <c r="M295" s="10" t="s">
        <v>2248</v>
      </c>
      <c r="N295" s="10" t="s">
        <v>2249</v>
      </c>
      <c r="O295" s="10" t="s">
        <v>2250</v>
      </c>
      <c r="P295" s="33">
        <f>15/10</f>
        <v>1.5</v>
      </c>
      <c r="Q295" s="25">
        <f>35/30</f>
        <v>1.1666666666666667</v>
      </c>
    </row>
    <row r="296" spans="1:17" s="20" customFormat="1" ht="263.25" customHeight="1" x14ac:dyDescent="0.35">
      <c r="A296" s="10" t="s">
        <v>2058</v>
      </c>
      <c r="B296" s="10" t="s">
        <v>3036</v>
      </c>
      <c r="C296" s="10" t="s">
        <v>17</v>
      </c>
      <c r="D296" s="46" t="s">
        <v>2251</v>
      </c>
      <c r="E296" s="46" t="s">
        <v>2252</v>
      </c>
      <c r="F296" s="46" t="s">
        <v>2253</v>
      </c>
      <c r="G296" s="16" t="s">
        <v>2254</v>
      </c>
      <c r="H296" s="16" t="s">
        <v>2255</v>
      </c>
      <c r="I296" s="152" t="s">
        <v>3046</v>
      </c>
      <c r="J296" s="16" t="s">
        <v>2256</v>
      </c>
      <c r="K296" s="16" t="s">
        <v>2057</v>
      </c>
      <c r="L296" s="10" t="s">
        <v>2257</v>
      </c>
      <c r="M296" s="10" t="s">
        <v>2258</v>
      </c>
      <c r="N296" s="10" t="s">
        <v>2259</v>
      </c>
      <c r="O296" s="10" t="s">
        <v>2260</v>
      </c>
      <c r="P296" s="24">
        <f>1400/2000</f>
        <v>0.7</v>
      </c>
      <c r="Q296" s="25">
        <f>4493/6000</f>
        <v>0.74883333333333335</v>
      </c>
    </row>
    <row r="297" spans="1:17" s="20" customFormat="1" ht="249.95" customHeight="1" x14ac:dyDescent="0.35">
      <c r="A297" s="10" t="s">
        <v>2058</v>
      </c>
      <c r="B297" s="10" t="s">
        <v>3036</v>
      </c>
      <c r="C297" s="10" t="s">
        <v>17</v>
      </c>
      <c r="D297" s="46" t="s">
        <v>2261</v>
      </c>
      <c r="E297" s="46" t="s">
        <v>2262</v>
      </c>
      <c r="F297" s="46" t="s">
        <v>2263</v>
      </c>
      <c r="G297" s="16" t="s">
        <v>2264</v>
      </c>
      <c r="H297" s="16" t="s">
        <v>2265</v>
      </c>
      <c r="I297" s="152" t="s">
        <v>3046</v>
      </c>
      <c r="J297" s="16" t="s">
        <v>2266</v>
      </c>
      <c r="K297" s="16" t="s">
        <v>2057</v>
      </c>
      <c r="L297" s="10" t="s">
        <v>2267</v>
      </c>
      <c r="M297" s="10" t="s">
        <v>2268</v>
      </c>
      <c r="N297" s="10" t="s">
        <v>2269</v>
      </c>
      <c r="O297" s="10" t="s">
        <v>2270</v>
      </c>
      <c r="P297" s="33">
        <f>84/50</f>
        <v>1.68</v>
      </c>
      <c r="Q297" s="25">
        <f>241/150</f>
        <v>1.6066666666666667</v>
      </c>
    </row>
    <row r="298" spans="1:17" s="20" customFormat="1" ht="249.95" customHeight="1" x14ac:dyDescent="0.35">
      <c r="A298" s="10" t="s">
        <v>2058</v>
      </c>
      <c r="B298" s="10" t="s">
        <v>3036</v>
      </c>
      <c r="C298" s="10" t="s">
        <v>17</v>
      </c>
      <c r="D298" s="16" t="s">
        <v>2271</v>
      </c>
      <c r="E298" s="16" t="s">
        <v>2272</v>
      </c>
      <c r="F298" s="16" t="s">
        <v>2273</v>
      </c>
      <c r="G298" s="16" t="s">
        <v>2274</v>
      </c>
      <c r="H298" s="16" t="s">
        <v>2275</v>
      </c>
      <c r="I298" s="152" t="s">
        <v>3046</v>
      </c>
      <c r="J298" s="16" t="s">
        <v>2276</v>
      </c>
      <c r="K298" s="16" t="s">
        <v>2057</v>
      </c>
      <c r="L298" s="10" t="s">
        <v>2277</v>
      </c>
      <c r="M298" s="10" t="s">
        <v>2278</v>
      </c>
      <c r="N298" s="10" t="s">
        <v>2921</v>
      </c>
      <c r="O298" s="10" t="s">
        <v>3002</v>
      </c>
      <c r="P298" s="24">
        <f>2/3</f>
        <v>0.66666666666666663</v>
      </c>
      <c r="Q298" s="25">
        <f>7/7</f>
        <v>1</v>
      </c>
    </row>
    <row r="299" spans="1:17" s="36" customFormat="1" ht="249.95" customHeight="1" x14ac:dyDescent="0.35">
      <c r="A299" s="10" t="s">
        <v>2058</v>
      </c>
      <c r="B299" s="10" t="s">
        <v>3036</v>
      </c>
      <c r="C299" s="10" t="s">
        <v>17</v>
      </c>
      <c r="D299" s="10" t="s">
        <v>2279</v>
      </c>
      <c r="E299" s="10" t="s">
        <v>727</v>
      </c>
      <c r="F299" s="10" t="s">
        <v>728</v>
      </c>
      <c r="G299" s="10" t="s">
        <v>2280</v>
      </c>
      <c r="H299" s="10" t="s">
        <v>2281</v>
      </c>
      <c r="I299" s="152" t="s">
        <v>3046</v>
      </c>
      <c r="J299" s="10" t="s">
        <v>2282</v>
      </c>
      <c r="K299" s="10" t="s">
        <v>322</v>
      </c>
      <c r="L299" s="10" t="s">
        <v>2283</v>
      </c>
      <c r="M299" s="10" t="s">
        <v>2284</v>
      </c>
      <c r="N299" s="10" t="s">
        <v>2922</v>
      </c>
      <c r="O299" s="10" t="s">
        <v>3003</v>
      </c>
      <c r="P299" s="33">
        <f>54/50</f>
        <v>1.08</v>
      </c>
      <c r="Q299" s="25">
        <f>253/150</f>
        <v>1.6866666666666668</v>
      </c>
    </row>
    <row r="300" spans="1:17" s="20" customFormat="1" ht="249.95" customHeight="1" x14ac:dyDescent="0.35">
      <c r="A300" s="10" t="s">
        <v>2058</v>
      </c>
      <c r="B300" s="10" t="s">
        <v>3036</v>
      </c>
      <c r="C300" s="10" t="s">
        <v>17</v>
      </c>
      <c r="D300" s="16" t="s">
        <v>2285</v>
      </c>
      <c r="E300" s="16" t="s">
        <v>2286</v>
      </c>
      <c r="F300" s="16" t="s">
        <v>2287</v>
      </c>
      <c r="G300" s="16" t="s">
        <v>2288</v>
      </c>
      <c r="H300" s="16" t="s">
        <v>2289</v>
      </c>
      <c r="I300" s="152" t="s">
        <v>3046</v>
      </c>
      <c r="J300" s="16" t="s">
        <v>2290</v>
      </c>
      <c r="K300" s="16" t="s">
        <v>2057</v>
      </c>
      <c r="L300" s="10" t="s">
        <v>2291</v>
      </c>
      <c r="M300" s="10" t="s">
        <v>2292</v>
      </c>
      <c r="N300" s="10" t="s">
        <v>2293</v>
      </c>
      <c r="O300" s="10" t="s">
        <v>2294</v>
      </c>
      <c r="P300" s="33">
        <f>19/8</f>
        <v>2.375</v>
      </c>
      <c r="Q300" s="25">
        <f>23/24</f>
        <v>0.95833333333333337</v>
      </c>
    </row>
    <row r="301" spans="1:17" s="20" customFormat="1" ht="249.95" customHeight="1" x14ac:dyDescent="0.35">
      <c r="A301" s="10" t="s">
        <v>2058</v>
      </c>
      <c r="B301" s="10" t="s">
        <v>3036</v>
      </c>
      <c r="C301" s="10" t="s">
        <v>17</v>
      </c>
      <c r="D301" s="16" t="s">
        <v>2295</v>
      </c>
      <c r="E301" s="16" t="s">
        <v>2296</v>
      </c>
      <c r="F301" s="16" t="s">
        <v>2297</v>
      </c>
      <c r="G301" s="16" t="s">
        <v>2298</v>
      </c>
      <c r="H301" s="16" t="s">
        <v>2299</v>
      </c>
      <c r="I301" s="152" t="s">
        <v>3046</v>
      </c>
      <c r="J301" s="16" t="s">
        <v>2300</v>
      </c>
      <c r="K301" s="16" t="s">
        <v>2057</v>
      </c>
      <c r="L301" s="10" t="s">
        <v>2301</v>
      </c>
      <c r="M301" s="10" t="s">
        <v>2296</v>
      </c>
      <c r="N301" s="10" t="s">
        <v>2302</v>
      </c>
      <c r="O301" s="10" t="s">
        <v>2297</v>
      </c>
      <c r="P301" s="33">
        <f>9/4</f>
        <v>2.25</v>
      </c>
      <c r="Q301" s="25">
        <f>16/16</f>
        <v>1</v>
      </c>
    </row>
    <row r="302" spans="1:17" s="20" customFormat="1" ht="249.95" customHeight="1" x14ac:dyDescent="0.35">
      <c r="A302" s="10" t="s">
        <v>2058</v>
      </c>
      <c r="B302" s="10" t="s">
        <v>3037</v>
      </c>
      <c r="C302" s="10" t="s">
        <v>29</v>
      </c>
      <c r="D302" s="10" t="s">
        <v>30</v>
      </c>
      <c r="E302" s="16" t="s">
        <v>1090</v>
      </c>
      <c r="F302" s="16" t="s">
        <v>162</v>
      </c>
      <c r="G302" s="16" t="s">
        <v>2303</v>
      </c>
      <c r="H302" s="16" t="s">
        <v>2304</v>
      </c>
      <c r="I302" s="152" t="s">
        <v>3046</v>
      </c>
      <c r="J302" s="16" t="s">
        <v>2305</v>
      </c>
      <c r="K302" s="16" t="s">
        <v>115</v>
      </c>
      <c r="L302" s="10" t="s">
        <v>414</v>
      </c>
      <c r="M302" s="10" t="s">
        <v>2306</v>
      </c>
      <c r="N302" s="29">
        <v>0</v>
      </c>
      <c r="O302" s="10" t="s">
        <v>2306</v>
      </c>
      <c r="P302" s="35">
        <v>0</v>
      </c>
      <c r="Q302" s="37">
        <f>3/5</f>
        <v>0.6</v>
      </c>
    </row>
    <row r="303" spans="1:17" s="20" customFormat="1" ht="249.95" customHeight="1" x14ac:dyDescent="0.35">
      <c r="A303" s="10" t="s">
        <v>2058</v>
      </c>
      <c r="B303" s="10" t="s">
        <v>3037</v>
      </c>
      <c r="C303" s="10" t="s">
        <v>17</v>
      </c>
      <c r="D303" s="16" t="s">
        <v>2307</v>
      </c>
      <c r="E303" s="16" t="s">
        <v>2308</v>
      </c>
      <c r="F303" s="16" t="s">
        <v>2309</v>
      </c>
      <c r="G303" s="16" t="s">
        <v>2310</v>
      </c>
      <c r="H303" s="16" t="s">
        <v>2311</v>
      </c>
      <c r="I303" s="152" t="s">
        <v>3046</v>
      </c>
      <c r="J303" s="16" t="s">
        <v>2312</v>
      </c>
      <c r="K303" s="16" t="s">
        <v>115</v>
      </c>
      <c r="L303" s="10" t="s">
        <v>2313</v>
      </c>
      <c r="M303" s="10" t="s">
        <v>2314</v>
      </c>
      <c r="N303" s="29" t="s">
        <v>2315</v>
      </c>
      <c r="O303" s="10" t="s">
        <v>2316</v>
      </c>
      <c r="P303" s="33">
        <f>2541/320</f>
        <v>7.9406249999999998</v>
      </c>
      <c r="Q303" s="25">
        <f>1586/960</f>
        <v>1.6520833333333333</v>
      </c>
    </row>
    <row r="304" spans="1:17" s="20" customFormat="1" ht="249.95" customHeight="1" x14ac:dyDescent="0.35">
      <c r="A304" s="10" t="s">
        <v>2058</v>
      </c>
      <c r="B304" s="10" t="s">
        <v>3037</v>
      </c>
      <c r="C304" s="10" t="s">
        <v>29</v>
      </c>
      <c r="D304" s="10" t="s">
        <v>30</v>
      </c>
      <c r="E304" s="64" t="s">
        <v>2317</v>
      </c>
      <c r="F304" s="64" t="s">
        <v>2318</v>
      </c>
      <c r="G304" s="16" t="s">
        <v>2319</v>
      </c>
      <c r="H304" s="16" t="s">
        <v>2320</v>
      </c>
      <c r="I304" s="152" t="s">
        <v>3046</v>
      </c>
      <c r="J304" s="16" t="s">
        <v>2321</v>
      </c>
      <c r="K304" s="16" t="s">
        <v>115</v>
      </c>
      <c r="L304" s="10" t="s">
        <v>2323</v>
      </c>
      <c r="M304" s="10" t="s">
        <v>2322</v>
      </c>
      <c r="N304" s="29" t="s">
        <v>2324</v>
      </c>
      <c r="O304" s="10" t="s">
        <v>2325</v>
      </c>
      <c r="P304" s="24">
        <f>158000/175000</f>
        <v>0.9028571428571428</v>
      </c>
      <c r="Q304" s="25">
        <f>512500/520000</f>
        <v>0.98557692307692313</v>
      </c>
    </row>
    <row r="305" spans="1:17" s="20" customFormat="1" ht="249.95" customHeight="1" x14ac:dyDescent="0.35">
      <c r="A305" s="10" t="s">
        <v>2058</v>
      </c>
      <c r="B305" s="10" t="s">
        <v>3037</v>
      </c>
      <c r="C305" s="10" t="s">
        <v>29</v>
      </c>
      <c r="D305" s="10" t="s">
        <v>30</v>
      </c>
      <c r="E305" s="16" t="s">
        <v>2326</v>
      </c>
      <c r="F305" s="16" t="s">
        <v>2327</v>
      </c>
      <c r="G305" s="16" t="s">
        <v>2328</v>
      </c>
      <c r="H305" s="16" t="s">
        <v>2329</v>
      </c>
      <c r="I305" s="152" t="s">
        <v>3046</v>
      </c>
      <c r="J305" s="16" t="s">
        <v>2330</v>
      </c>
      <c r="K305" s="16" t="s">
        <v>115</v>
      </c>
      <c r="L305" s="10" t="s">
        <v>2331</v>
      </c>
      <c r="M305" s="10" t="s">
        <v>2332</v>
      </c>
      <c r="N305" s="29" t="s">
        <v>2333</v>
      </c>
      <c r="O305" s="10" t="s">
        <v>2334</v>
      </c>
      <c r="P305" s="33">
        <f>680/333</f>
        <v>2.0420420420420422</v>
      </c>
      <c r="Q305" s="25">
        <f>1845/1000</f>
        <v>1.845</v>
      </c>
    </row>
    <row r="306" spans="1:17" s="20" customFormat="1" ht="249.95" customHeight="1" x14ac:dyDescent="0.35">
      <c r="A306" s="10" t="s">
        <v>2058</v>
      </c>
      <c r="B306" s="10" t="s">
        <v>3037</v>
      </c>
      <c r="C306" s="10" t="s">
        <v>29</v>
      </c>
      <c r="D306" s="10" t="s">
        <v>30</v>
      </c>
      <c r="E306" s="16" t="s">
        <v>1519</v>
      </c>
      <c r="F306" s="16" t="s">
        <v>2335</v>
      </c>
      <c r="G306" s="16" t="s">
        <v>2336</v>
      </c>
      <c r="H306" s="16" t="s">
        <v>2337</v>
      </c>
      <c r="I306" s="152" t="s">
        <v>3046</v>
      </c>
      <c r="J306" s="16" t="s">
        <v>1475</v>
      </c>
      <c r="K306" s="16" t="s">
        <v>115</v>
      </c>
      <c r="L306" s="10" t="s">
        <v>2338</v>
      </c>
      <c r="M306" s="10" t="s">
        <v>2339</v>
      </c>
      <c r="N306" s="29">
        <v>0</v>
      </c>
      <c r="O306" s="10" t="s">
        <v>2341</v>
      </c>
      <c r="P306" s="35">
        <v>0</v>
      </c>
      <c r="Q306" s="25">
        <f>10/4</f>
        <v>2.5</v>
      </c>
    </row>
    <row r="307" spans="1:17" s="36" customFormat="1" ht="249.95" customHeight="1" x14ac:dyDescent="0.35">
      <c r="A307" s="10" t="s">
        <v>2058</v>
      </c>
      <c r="B307" s="10" t="s">
        <v>3037</v>
      </c>
      <c r="C307" s="10" t="s">
        <v>17</v>
      </c>
      <c r="D307" s="16" t="s">
        <v>2342</v>
      </c>
      <c r="E307" s="16" t="s">
        <v>2343</v>
      </c>
      <c r="F307" s="16" t="s">
        <v>2344</v>
      </c>
      <c r="G307" s="16" t="s">
        <v>2345</v>
      </c>
      <c r="H307" s="16" t="s">
        <v>2346</v>
      </c>
      <c r="I307" s="152" t="s">
        <v>3046</v>
      </c>
      <c r="J307" s="16" t="s">
        <v>2347</v>
      </c>
      <c r="K307" s="16" t="s">
        <v>115</v>
      </c>
      <c r="L307" s="10" t="s">
        <v>2348</v>
      </c>
      <c r="M307" s="10" t="s">
        <v>2349</v>
      </c>
      <c r="N307" s="47">
        <v>0</v>
      </c>
      <c r="O307" s="10" t="s">
        <v>2348</v>
      </c>
      <c r="P307" s="35">
        <f t="shared" ref="P307" si="0">0/8</f>
        <v>0</v>
      </c>
      <c r="Q307" s="43">
        <f>22/100</f>
        <v>0.22</v>
      </c>
    </row>
    <row r="308" spans="1:17" s="36" customFormat="1" ht="249.95" customHeight="1" x14ac:dyDescent="0.35">
      <c r="A308" s="10" t="s">
        <v>2058</v>
      </c>
      <c r="B308" s="10" t="s">
        <v>3037</v>
      </c>
      <c r="C308" s="10" t="s">
        <v>29</v>
      </c>
      <c r="D308" s="10" t="s">
        <v>30</v>
      </c>
      <c r="E308" s="10" t="s">
        <v>2350</v>
      </c>
      <c r="F308" s="10" t="s">
        <v>2351</v>
      </c>
      <c r="G308" s="10" t="s">
        <v>2352</v>
      </c>
      <c r="H308" s="10" t="s">
        <v>2353</v>
      </c>
      <c r="I308" s="152" t="s">
        <v>3046</v>
      </c>
      <c r="J308" s="10" t="s">
        <v>1475</v>
      </c>
      <c r="K308" s="10" t="s">
        <v>115</v>
      </c>
      <c r="L308" s="10" t="s">
        <v>2354</v>
      </c>
      <c r="M308" s="10" t="s">
        <v>2355</v>
      </c>
      <c r="N308" s="47" t="s">
        <v>2356</v>
      </c>
      <c r="O308" s="10" t="s">
        <v>2357</v>
      </c>
      <c r="P308" s="24">
        <f>301/329</f>
        <v>0.91489361702127658</v>
      </c>
      <c r="Q308" s="25">
        <f>1325/900</f>
        <v>1.4722222222222223</v>
      </c>
    </row>
    <row r="309" spans="1:17" s="36" customFormat="1" ht="249.95" customHeight="1" x14ac:dyDescent="0.35">
      <c r="A309" s="10" t="s">
        <v>2058</v>
      </c>
      <c r="B309" s="10" t="s">
        <v>3037</v>
      </c>
      <c r="C309" s="10" t="s">
        <v>29</v>
      </c>
      <c r="D309" s="10" t="s">
        <v>30</v>
      </c>
      <c r="E309" s="10" t="s">
        <v>2358</v>
      </c>
      <c r="F309" s="10" t="s">
        <v>2359</v>
      </c>
      <c r="G309" s="10" t="s">
        <v>2360</v>
      </c>
      <c r="H309" s="10" t="s">
        <v>2361</v>
      </c>
      <c r="I309" s="65" t="s">
        <v>3046</v>
      </c>
      <c r="J309" s="10" t="s">
        <v>2362</v>
      </c>
      <c r="K309" s="10" t="s">
        <v>115</v>
      </c>
      <c r="L309" s="10" t="s">
        <v>2363</v>
      </c>
      <c r="M309" s="10" t="s">
        <v>2364</v>
      </c>
      <c r="N309" s="47" t="s">
        <v>2365</v>
      </c>
      <c r="O309" s="10" t="s">
        <v>2366</v>
      </c>
      <c r="P309" s="33">
        <f>1873/700</f>
        <v>2.6757142857142857</v>
      </c>
      <c r="Q309" s="25">
        <f>2773/2100</f>
        <v>1.3204761904761906</v>
      </c>
    </row>
    <row r="310" spans="1:17" s="20" customFormat="1" ht="249.95" customHeight="1" x14ac:dyDescent="0.35">
      <c r="A310" s="10" t="s">
        <v>2058</v>
      </c>
      <c r="B310" s="10" t="s">
        <v>3037</v>
      </c>
      <c r="C310" s="10" t="s">
        <v>29</v>
      </c>
      <c r="D310" s="10" t="s">
        <v>30</v>
      </c>
      <c r="E310" s="16" t="s">
        <v>2367</v>
      </c>
      <c r="F310" s="16" t="s">
        <v>2368</v>
      </c>
      <c r="G310" s="16" t="s">
        <v>2369</v>
      </c>
      <c r="H310" s="16" t="s">
        <v>2370</v>
      </c>
      <c r="I310" s="152" t="s">
        <v>3046</v>
      </c>
      <c r="J310" s="16" t="s">
        <v>2371</v>
      </c>
      <c r="K310" s="16" t="s">
        <v>115</v>
      </c>
      <c r="L310" s="10" t="s">
        <v>2373</v>
      </c>
      <c r="M310" s="10" t="s">
        <v>2372</v>
      </c>
      <c r="N310" s="29" t="s">
        <v>2374</v>
      </c>
      <c r="O310" s="10" t="s">
        <v>2375</v>
      </c>
      <c r="P310" s="35">
        <f>6/20</f>
        <v>0.3</v>
      </c>
      <c r="Q310" s="25">
        <f>50/60</f>
        <v>0.83333333333333337</v>
      </c>
    </row>
    <row r="311" spans="1:17" s="20" customFormat="1" ht="249.95" customHeight="1" x14ac:dyDescent="0.35">
      <c r="A311" s="10" t="s">
        <v>2058</v>
      </c>
      <c r="B311" s="10" t="s">
        <v>3037</v>
      </c>
      <c r="C311" s="10" t="s">
        <v>17</v>
      </c>
      <c r="D311" s="10" t="s">
        <v>2376</v>
      </c>
      <c r="E311" s="16" t="s">
        <v>2377</v>
      </c>
      <c r="F311" s="16" t="s">
        <v>2378</v>
      </c>
      <c r="G311" s="16" t="s">
        <v>2379</v>
      </c>
      <c r="H311" s="16" t="s">
        <v>2380</v>
      </c>
      <c r="I311" s="65" t="s">
        <v>3046</v>
      </c>
      <c r="J311" s="16" t="s">
        <v>2381</v>
      </c>
      <c r="K311" s="16" t="s">
        <v>115</v>
      </c>
      <c r="L311" s="10" t="s">
        <v>2382</v>
      </c>
      <c r="M311" s="10" t="s">
        <v>2383</v>
      </c>
      <c r="N311" s="29">
        <v>0</v>
      </c>
      <c r="O311" s="10" t="s">
        <v>2384</v>
      </c>
      <c r="P311" s="35">
        <v>0</v>
      </c>
      <c r="Q311" s="25">
        <f>46/40</f>
        <v>1.1499999999999999</v>
      </c>
    </row>
    <row r="312" spans="1:17" s="36" customFormat="1" ht="249.95" customHeight="1" x14ac:dyDescent="0.35">
      <c r="A312" s="10" t="s">
        <v>2058</v>
      </c>
      <c r="B312" s="10" t="s">
        <v>3037</v>
      </c>
      <c r="C312" s="10" t="s">
        <v>17</v>
      </c>
      <c r="D312" s="16" t="s">
        <v>1522</v>
      </c>
      <c r="E312" s="64" t="s">
        <v>1979</v>
      </c>
      <c r="F312" s="64" t="s">
        <v>2340</v>
      </c>
      <c r="G312" s="16" t="s">
        <v>2385</v>
      </c>
      <c r="H312" s="16" t="s">
        <v>2386</v>
      </c>
      <c r="I312" s="152" t="s">
        <v>3046</v>
      </c>
      <c r="J312" s="16" t="s">
        <v>2387</v>
      </c>
      <c r="K312" s="16" t="s">
        <v>115</v>
      </c>
      <c r="L312" s="10" t="s">
        <v>2388</v>
      </c>
      <c r="M312" s="10" t="s">
        <v>2389</v>
      </c>
      <c r="N312" s="29">
        <v>0</v>
      </c>
      <c r="O312" s="10" t="s">
        <v>2390</v>
      </c>
      <c r="P312" s="35">
        <v>0</v>
      </c>
      <c r="Q312" s="25">
        <f>44/9</f>
        <v>4.8888888888888893</v>
      </c>
    </row>
    <row r="313" spans="1:17" s="20" customFormat="1" ht="249.95" customHeight="1" x14ac:dyDescent="0.35">
      <c r="A313" s="10" t="s">
        <v>2058</v>
      </c>
      <c r="B313" s="10" t="s">
        <v>3037</v>
      </c>
      <c r="C313" s="10" t="s">
        <v>17</v>
      </c>
      <c r="D313" s="16" t="s">
        <v>2391</v>
      </c>
      <c r="E313" s="64" t="s">
        <v>2392</v>
      </c>
      <c r="F313" s="64" t="s">
        <v>2393</v>
      </c>
      <c r="G313" s="16" t="s">
        <v>2394</v>
      </c>
      <c r="H313" s="16" t="s">
        <v>2395</v>
      </c>
      <c r="I313" s="152" t="s">
        <v>3046</v>
      </c>
      <c r="J313" s="16" t="s">
        <v>2396</v>
      </c>
      <c r="K313" s="16" t="s">
        <v>115</v>
      </c>
      <c r="L313" s="10" t="s">
        <v>2397</v>
      </c>
      <c r="M313" s="10" t="s">
        <v>2398</v>
      </c>
      <c r="N313" s="29" t="s">
        <v>2392</v>
      </c>
      <c r="O313" s="10" t="s">
        <v>2399</v>
      </c>
      <c r="P313" s="33">
        <f>3/3</f>
        <v>1</v>
      </c>
      <c r="Q313" s="37">
        <f>6/9</f>
        <v>0.66666666666666663</v>
      </c>
    </row>
    <row r="314" spans="1:17" s="20" customFormat="1" ht="249.95" customHeight="1" x14ac:dyDescent="0.35">
      <c r="A314" s="10" t="s">
        <v>2058</v>
      </c>
      <c r="B314" s="10" t="s">
        <v>3037</v>
      </c>
      <c r="C314" s="10" t="s">
        <v>1820</v>
      </c>
      <c r="D314" s="10" t="s">
        <v>30</v>
      </c>
      <c r="E314" s="10" t="s">
        <v>30</v>
      </c>
      <c r="F314" s="16" t="s">
        <v>2400</v>
      </c>
      <c r="G314" s="16" t="s">
        <v>2401</v>
      </c>
      <c r="H314" s="16" t="s">
        <v>2402</v>
      </c>
      <c r="I314" s="152" t="s">
        <v>3046</v>
      </c>
      <c r="J314" s="16" t="s">
        <v>2403</v>
      </c>
      <c r="K314" s="16" t="s">
        <v>115</v>
      </c>
      <c r="L314" s="10" t="s">
        <v>2404</v>
      </c>
      <c r="M314" s="10" t="s">
        <v>2404</v>
      </c>
      <c r="N314" s="122">
        <v>10</v>
      </c>
      <c r="O314" s="10" t="s">
        <v>2405</v>
      </c>
      <c r="P314" s="123"/>
      <c r="Q314" s="124"/>
    </row>
    <row r="315" spans="1:17" s="20" customFormat="1" ht="249.95" customHeight="1" x14ac:dyDescent="0.35">
      <c r="A315" s="10" t="s">
        <v>2058</v>
      </c>
      <c r="B315" s="10" t="s">
        <v>3037</v>
      </c>
      <c r="C315" s="10" t="s">
        <v>17</v>
      </c>
      <c r="D315" s="87" t="s">
        <v>2406</v>
      </c>
      <c r="E315" s="87" t="s">
        <v>2406</v>
      </c>
      <c r="F315" s="87" t="s">
        <v>2406</v>
      </c>
      <c r="G315" s="16" t="s">
        <v>2407</v>
      </c>
      <c r="H315" s="16" t="s">
        <v>2408</v>
      </c>
      <c r="I315" s="152" t="s">
        <v>3047</v>
      </c>
      <c r="J315" s="16" t="s">
        <v>2409</v>
      </c>
      <c r="K315" s="16" t="s">
        <v>115</v>
      </c>
      <c r="L315" s="10" t="s">
        <v>2410</v>
      </c>
      <c r="M315" s="10" t="s">
        <v>2411</v>
      </c>
      <c r="N315" s="47">
        <v>0</v>
      </c>
      <c r="O315" s="10" t="s">
        <v>2411</v>
      </c>
      <c r="P315" s="33">
        <v>0.8</v>
      </c>
      <c r="Q315" s="33">
        <v>0.8</v>
      </c>
    </row>
    <row r="316" spans="1:17" s="20" customFormat="1" ht="249.95" customHeight="1" x14ac:dyDescent="0.35">
      <c r="A316" s="10" t="s">
        <v>2058</v>
      </c>
      <c r="B316" s="10" t="s">
        <v>3037</v>
      </c>
      <c r="C316" s="10" t="s">
        <v>29</v>
      </c>
      <c r="D316" s="10" t="s">
        <v>30</v>
      </c>
      <c r="E316" s="16" t="s">
        <v>2412</v>
      </c>
      <c r="F316" s="16" t="s">
        <v>2413</v>
      </c>
      <c r="G316" s="16" t="s">
        <v>2414</v>
      </c>
      <c r="H316" s="16" t="s">
        <v>2415</v>
      </c>
      <c r="I316" s="152" t="s">
        <v>3046</v>
      </c>
      <c r="J316" s="16" t="s">
        <v>2416</v>
      </c>
      <c r="K316" s="16" t="s">
        <v>115</v>
      </c>
      <c r="L316" s="10" t="s">
        <v>2417</v>
      </c>
      <c r="M316" s="10" t="s">
        <v>2418</v>
      </c>
      <c r="N316" s="29" t="s">
        <v>2419</v>
      </c>
      <c r="O316" s="10" t="s">
        <v>2420</v>
      </c>
      <c r="P316" s="33">
        <f>3/1</f>
        <v>3</v>
      </c>
      <c r="Q316" s="25">
        <f>13/4</f>
        <v>3.25</v>
      </c>
    </row>
    <row r="317" spans="1:17" s="20" customFormat="1" ht="249.95" customHeight="1" x14ac:dyDescent="0.35">
      <c r="A317" s="10" t="s">
        <v>2058</v>
      </c>
      <c r="B317" s="10" t="s">
        <v>3037</v>
      </c>
      <c r="C317" s="10" t="s">
        <v>17</v>
      </c>
      <c r="D317" s="16" t="s">
        <v>2421</v>
      </c>
      <c r="E317" s="16" t="s">
        <v>2422</v>
      </c>
      <c r="F317" s="16" t="s">
        <v>2423</v>
      </c>
      <c r="G317" s="16" t="s">
        <v>2424</v>
      </c>
      <c r="H317" s="16" t="s">
        <v>2425</v>
      </c>
      <c r="I317" s="152" t="s">
        <v>3046</v>
      </c>
      <c r="J317" s="16" t="s">
        <v>2426</v>
      </c>
      <c r="K317" s="16" t="s">
        <v>115</v>
      </c>
      <c r="L317" s="10" t="s">
        <v>2427</v>
      </c>
      <c r="M317" s="10" t="s">
        <v>2428</v>
      </c>
      <c r="N317" s="29" t="s">
        <v>2429</v>
      </c>
      <c r="O317" s="10" t="s">
        <v>2430</v>
      </c>
      <c r="P317" s="33">
        <f>2/1</f>
        <v>2</v>
      </c>
      <c r="Q317" s="25">
        <f>4/3</f>
        <v>1.3333333333333333</v>
      </c>
    </row>
    <row r="318" spans="1:17" s="20" customFormat="1" ht="249.95" customHeight="1" x14ac:dyDescent="0.35">
      <c r="A318" s="10" t="s">
        <v>2058</v>
      </c>
      <c r="B318" s="10" t="s">
        <v>3037</v>
      </c>
      <c r="C318" s="10" t="s">
        <v>29</v>
      </c>
      <c r="D318" s="10" t="s">
        <v>30</v>
      </c>
      <c r="E318" s="16" t="s">
        <v>2431</v>
      </c>
      <c r="F318" s="16" t="s">
        <v>2432</v>
      </c>
      <c r="G318" s="16" t="s">
        <v>2433</v>
      </c>
      <c r="H318" s="16" t="s">
        <v>2434</v>
      </c>
      <c r="I318" s="152" t="s">
        <v>3046</v>
      </c>
      <c r="J318" s="16" t="s">
        <v>2435</v>
      </c>
      <c r="K318" s="16" t="s">
        <v>115</v>
      </c>
      <c r="L318" s="10" t="s">
        <v>2437</v>
      </c>
      <c r="M318" s="10" t="s">
        <v>2436</v>
      </c>
      <c r="N318" s="29" t="s">
        <v>2438</v>
      </c>
      <c r="O318" s="10" t="s">
        <v>2439</v>
      </c>
      <c r="P318" s="24">
        <f>171/200</f>
        <v>0.85499999999999998</v>
      </c>
      <c r="Q318" s="25">
        <f>442/500</f>
        <v>0.88400000000000001</v>
      </c>
    </row>
    <row r="319" spans="1:17" s="20" customFormat="1" ht="249.95" customHeight="1" x14ac:dyDescent="0.35">
      <c r="A319" s="10" t="s">
        <v>2058</v>
      </c>
      <c r="B319" s="10" t="s">
        <v>3037</v>
      </c>
      <c r="C319" s="10" t="s">
        <v>29</v>
      </c>
      <c r="D319" s="16" t="s">
        <v>30</v>
      </c>
      <c r="E319" s="16" t="s">
        <v>2440</v>
      </c>
      <c r="F319" s="16" t="s">
        <v>2440</v>
      </c>
      <c r="G319" s="16" t="s">
        <v>2441</v>
      </c>
      <c r="H319" s="16" t="s">
        <v>2442</v>
      </c>
      <c r="I319" s="152" t="s">
        <v>3046</v>
      </c>
      <c r="J319" s="16" t="s">
        <v>2443</v>
      </c>
      <c r="K319" s="16" t="s">
        <v>115</v>
      </c>
      <c r="L319" s="10" t="s">
        <v>2444</v>
      </c>
      <c r="M319" s="10" t="s">
        <v>403</v>
      </c>
      <c r="N319" s="92"/>
      <c r="O319" s="10" t="s">
        <v>2440</v>
      </c>
      <c r="P319" s="123"/>
      <c r="Q319" s="124"/>
    </row>
    <row r="320" spans="1:17" s="20" customFormat="1" ht="249.95" customHeight="1" x14ac:dyDescent="0.35">
      <c r="A320" s="10" t="s">
        <v>2058</v>
      </c>
      <c r="B320" s="10" t="s">
        <v>3037</v>
      </c>
      <c r="C320" s="10" t="s">
        <v>29</v>
      </c>
      <c r="D320" s="16" t="s">
        <v>30</v>
      </c>
      <c r="E320" s="16" t="s">
        <v>2445</v>
      </c>
      <c r="F320" s="16" t="s">
        <v>2446</v>
      </c>
      <c r="G320" s="16" t="s">
        <v>2447</v>
      </c>
      <c r="H320" s="16" t="s">
        <v>2448</v>
      </c>
      <c r="I320" s="65" t="s">
        <v>3046</v>
      </c>
      <c r="J320" s="16" t="s">
        <v>2449</v>
      </c>
      <c r="K320" s="16" t="s">
        <v>115</v>
      </c>
      <c r="L320" s="10" t="s">
        <v>2450</v>
      </c>
      <c r="M320" s="10" t="s">
        <v>2451</v>
      </c>
      <c r="N320" s="29" t="s">
        <v>2452</v>
      </c>
      <c r="O320" s="10" t="s">
        <v>2445</v>
      </c>
      <c r="P320" s="35">
        <f>1/3</f>
        <v>0.33333333333333331</v>
      </c>
      <c r="Q320" s="37">
        <f>3/5</f>
        <v>0.6</v>
      </c>
    </row>
    <row r="321" spans="1:17" s="20" customFormat="1" ht="272.25" customHeight="1" x14ac:dyDescent="0.35">
      <c r="A321" s="10" t="s">
        <v>2454</v>
      </c>
      <c r="B321" s="10" t="s">
        <v>3038</v>
      </c>
      <c r="C321" s="10" t="s">
        <v>17</v>
      </c>
      <c r="D321" s="10" t="s">
        <v>2455</v>
      </c>
      <c r="E321" s="10" t="s">
        <v>2456</v>
      </c>
      <c r="F321" s="10" t="s">
        <v>2457</v>
      </c>
      <c r="G321" s="16" t="s">
        <v>2458</v>
      </c>
      <c r="H321" s="16" t="s">
        <v>2459</v>
      </c>
      <c r="I321" s="152" t="s">
        <v>3046</v>
      </c>
      <c r="J321" s="16" t="s">
        <v>2460</v>
      </c>
      <c r="K321" s="16" t="s">
        <v>2453</v>
      </c>
      <c r="L321" s="16" t="s">
        <v>2461</v>
      </c>
      <c r="M321" s="16" t="s">
        <v>2462</v>
      </c>
      <c r="N321" s="16" t="s">
        <v>2462</v>
      </c>
      <c r="O321" s="16" t="s">
        <v>2463</v>
      </c>
      <c r="P321" s="138">
        <f>0/5</f>
        <v>0</v>
      </c>
      <c r="Q321" s="37">
        <f>8/16</f>
        <v>0.5</v>
      </c>
    </row>
    <row r="322" spans="1:17" s="20" customFormat="1" ht="249.95" customHeight="1" x14ac:dyDescent="0.35">
      <c r="A322" s="10" t="s">
        <v>2454</v>
      </c>
      <c r="B322" s="10" t="s">
        <v>3038</v>
      </c>
      <c r="C322" s="10" t="s">
        <v>17</v>
      </c>
      <c r="D322" s="10" t="s">
        <v>2464</v>
      </c>
      <c r="E322" s="10" t="s">
        <v>2465</v>
      </c>
      <c r="F322" s="10" t="s">
        <v>2466</v>
      </c>
      <c r="G322" s="16" t="s">
        <v>2467</v>
      </c>
      <c r="H322" s="16" t="s">
        <v>2468</v>
      </c>
      <c r="I322" s="65" t="s">
        <v>3046</v>
      </c>
      <c r="J322" s="16" t="s">
        <v>2469</v>
      </c>
      <c r="K322" s="16" t="s">
        <v>247</v>
      </c>
      <c r="L322" s="10" t="s">
        <v>2465</v>
      </c>
      <c r="M322" s="16" t="s">
        <v>2470</v>
      </c>
      <c r="N322" s="47" t="s">
        <v>2471</v>
      </c>
      <c r="O322" s="10" t="s">
        <v>2466</v>
      </c>
      <c r="P322" s="77">
        <f>1/50</f>
        <v>0.02</v>
      </c>
      <c r="Q322" s="25">
        <f>9/9</f>
        <v>1</v>
      </c>
    </row>
    <row r="323" spans="1:17" s="20" customFormat="1" ht="249.95" customHeight="1" x14ac:dyDescent="0.35">
      <c r="A323" s="10" t="s">
        <v>2454</v>
      </c>
      <c r="B323" s="10" t="s">
        <v>3038</v>
      </c>
      <c r="C323" s="10" t="s">
        <v>17</v>
      </c>
      <c r="D323" s="10" t="s">
        <v>2472</v>
      </c>
      <c r="E323" s="10" t="s">
        <v>2473</v>
      </c>
      <c r="F323" s="10" t="s">
        <v>2474</v>
      </c>
      <c r="G323" s="10" t="s">
        <v>2475</v>
      </c>
      <c r="H323" s="10" t="s">
        <v>2476</v>
      </c>
      <c r="I323" s="152" t="s">
        <v>3046</v>
      </c>
      <c r="J323" s="10" t="s">
        <v>2477</v>
      </c>
      <c r="K323" s="10" t="s">
        <v>2453</v>
      </c>
      <c r="L323" s="16" t="s">
        <v>2479</v>
      </c>
      <c r="M323" s="16" t="s">
        <v>2480</v>
      </c>
      <c r="N323" s="16" t="s">
        <v>2478</v>
      </c>
      <c r="O323" s="16" t="s">
        <v>2481</v>
      </c>
      <c r="P323" s="108">
        <f>8/5</f>
        <v>1.6</v>
      </c>
      <c r="Q323" s="25">
        <f>23/15</f>
        <v>1.5333333333333334</v>
      </c>
    </row>
    <row r="324" spans="1:17" s="20" customFormat="1" ht="249.95" customHeight="1" x14ac:dyDescent="0.35">
      <c r="A324" s="10" t="s">
        <v>2454</v>
      </c>
      <c r="B324" s="10" t="s">
        <v>3038</v>
      </c>
      <c r="C324" s="10" t="s">
        <v>29</v>
      </c>
      <c r="D324" s="10" t="s">
        <v>30</v>
      </c>
      <c r="E324" s="16" t="s">
        <v>2482</v>
      </c>
      <c r="F324" s="16" t="s">
        <v>2483</v>
      </c>
      <c r="G324" s="16" t="s">
        <v>2484</v>
      </c>
      <c r="H324" s="16" t="s">
        <v>2485</v>
      </c>
      <c r="I324" s="152" t="s">
        <v>3046</v>
      </c>
      <c r="J324" s="16" t="s">
        <v>2486</v>
      </c>
      <c r="K324" s="16" t="s">
        <v>2453</v>
      </c>
      <c r="L324" s="16" t="s">
        <v>2487</v>
      </c>
      <c r="M324" s="16" t="s">
        <v>2488</v>
      </c>
      <c r="N324" s="16" t="s">
        <v>2490</v>
      </c>
      <c r="O324" s="16" t="s">
        <v>2491</v>
      </c>
      <c r="P324" s="108">
        <f>38/23</f>
        <v>1.6521739130434783</v>
      </c>
      <c r="Q324" s="25">
        <f>38/16</f>
        <v>2.375</v>
      </c>
    </row>
    <row r="325" spans="1:17" s="20" customFormat="1" ht="249.95" customHeight="1" x14ac:dyDescent="0.35">
      <c r="A325" s="10" t="s">
        <v>2454</v>
      </c>
      <c r="B325" s="10" t="s">
        <v>3038</v>
      </c>
      <c r="C325" s="10" t="s">
        <v>29</v>
      </c>
      <c r="D325" s="10" t="s">
        <v>30</v>
      </c>
      <c r="E325" s="16" t="s">
        <v>349</v>
      </c>
      <c r="F325" s="16" t="s">
        <v>345</v>
      </c>
      <c r="G325" s="16" t="s">
        <v>2492</v>
      </c>
      <c r="H325" s="16" t="s">
        <v>2493</v>
      </c>
      <c r="I325" s="152" t="s">
        <v>3046</v>
      </c>
      <c r="J325" s="16" t="s">
        <v>2494</v>
      </c>
      <c r="K325" s="16" t="s">
        <v>224</v>
      </c>
      <c r="L325" s="10" t="s">
        <v>2495</v>
      </c>
      <c r="M325" s="10" t="s">
        <v>403</v>
      </c>
      <c r="N325" s="10" t="s">
        <v>403</v>
      </c>
      <c r="O325" s="10" t="s">
        <v>2496</v>
      </c>
      <c r="P325" s="33">
        <f>0/4</f>
        <v>0</v>
      </c>
      <c r="Q325" s="25">
        <v>1</v>
      </c>
    </row>
    <row r="326" spans="1:17" s="20" customFormat="1" ht="249.95" customHeight="1" x14ac:dyDescent="0.35">
      <c r="A326" s="10" t="s">
        <v>2454</v>
      </c>
      <c r="B326" s="10" t="s">
        <v>3038</v>
      </c>
      <c r="C326" s="10" t="s">
        <v>17</v>
      </c>
      <c r="D326" s="10" t="s">
        <v>2497</v>
      </c>
      <c r="E326" s="16" t="s">
        <v>2498</v>
      </c>
      <c r="F326" s="16" t="s">
        <v>2499</v>
      </c>
      <c r="G326" s="16" t="s">
        <v>2500</v>
      </c>
      <c r="H326" s="16" t="s">
        <v>2501</v>
      </c>
      <c r="I326" s="152" t="s">
        <v>3046</v>
      </c>
      <c r="J326" s="16" t="s">
        <v>2502</v>
      </c>
      <c r="K326" s="16" t="s">
        <v>224</v>
      </c>
      <c r="L326" s="10" t="s">
        <v>2503</v>
      </c>
      <c r="M326" s="10" t="s">
        <v>2504</v>
      </c>
      <c r="N326" s="10" t="s">
        <v>2505</v>
      </c>
      <c r="O326" s="10" t="s">
        <v>2506</v>
      </c>
      <c r="P326" s="35">
        <f>0/480</f>
        <v>0</v>
      </c>
      <c r="Q326" s="37">
        <f>769/1140</f>
        <v>0.67456140350877192</v>
      </c>
    </row>
    <row r="327" spans="1:17" s="20" customFormat="1" ht="249.95" customHeight="1" x14ac:dyDescent="0.35">
      <c r="A327" s="10" t="s">
        <v>2454</v>
      </c>
      <c r="B327" s="10" t="s">
        <v>3038</v>
      </c>
      <c r="C327" s="10" t="s">
        <v>1820</v>
      </c>
      <c r="D327" s="10" t="s">
        <v>30</v>
      </c>
      <c r="E327" s="10" t="s">
        <v>30</v>
      </c>
      <c r="F327" s="17" t="s">
        <v>399</v>
      </c>
      <c r="G327" s="16" t="s">
        <v>2507</v>
      </c>
      <c r="H327" s="16" t="s">
        <v>2508</v>
      </c>
      <c r="I327" s="152" t="s">
        <v>3046</v>
      </c>
      <c r="J327" s="17" t="s">
        <v>2509</v>
      </c>
      <c r="K327" s="16" t="s">
        <v>24</v>
      </c>
      <c r="L327" s="10" t="s">
        <v>2510</v>
      </c>
      <c r="M327" s="10" t="s">
        <v>2511</v>
      </c>
      <c r="N327" s="10" t="s">
        <v>30</v>
      </c>
      <c r="O327" s="10" t="s">
        <v>2512</v>
      </c>
      <c r="P327" s="123"/>
      <c r="Q327" s="124"/>
    </row>
    <row r="328" spans="1:17" s="20" customFormat="1" ht="249.95" customHeight="1" x14ac:dyDescent="0.35">
      <c r="A328" s="10" t="s">
        <v>2454</v>
      </c>
      <c r="B328" s="10" t="s">
        <v>3038</v>
      </c>
      <c r="C328" s="10" t="s">
        <v>29</v>
      </c>
      <c r="D328" s="10" t="s">
        <v>30</v>
      </c>
      <c r="E328" s="16" t="s">
        <v>2513</v>
      </c>
      <c r="F328" s="87" t="s">
        <v>2514</v>
      </c>
      <c r="G328" s="16" t="s">
        <v>2515</v>
      </c>
      <c r="H328" s="16" t="s">
        <v>2516</v>
      </c>
      <c r="I328" s="152" t="s">
        <v>3046</v>
      </c>
      <c r="J328" s="16" t="s">
        <v>2517</v>
      </c>
      <c r="K328" s="16" t="s">
        <v>2453</v>
      </c>
      <c r="L328" s="16" t="s">
        <v>2518</v>
      </c>
      <c r="M328" s="16" t="s">
        <v>2519</v>
      </c>
      <c r="N328" s="16" t="s">
        <v>2520</v>
      </c>
      <c r="O328" s="16" t="s">
        <v>2521</v>
      </c>
      <c r="P328" s="108">
        <f>23/23</f>
        <v>1</v>
      </c>
      <c r="Q328" s="25">
        <f>48/16</f>
        <v>3</v>
      </c>
    </row>
    <row r="329" spans="1:17" s="36" customFormat="1" ht="249.95" customHeight="1" x14ac:dyDescent="0.35">
      <c r="A329" s="10" t="s">
        <v>2454</v>
      </c>
      <c r="B329" s="10" t="s">
        <v>3038</v>
      </c>
      <c r="C329" s="10" t="s">
        <v>17</v>
      </c>
      <c r="D329" s="10" t="s">
        <v>2522</v>
      </c>
      <c r="E329" s="10" t="s">
        <v>2523</v>
      </c>
      <c r="F329" s="10" t="s">
        <v>2524</v>
      </c>
      <c r="G329" s="16" t="s">
        <v>2525</v>
      </c>
      <c r="H329" s="16" t="s">
        <v>2526</v>
      </c>
      <c r="I329" s="152" t="s">
        <v>3046</v>
      </c>
      <c r="J329" s="16" t="s">
        <v>2527</v>
      </c>
      <c r="K329" s="16" t="s">
        <v>2453</v>
      </c>
      <c r="L329" s="16" t="s">
        <v>2528</v>
      </c>
      <c r="M329" s="16" t="s">
        <v>2529</v>
      </c>
      <c r="N329" s="16" t="s">
        <v>2530</v>
      </c>
      <c r="O329" s="16" t="s">
        <v>2531</v>
      </c>
      <c r="P329" s="93">
        <f>66/32</f>
        <v>2.0625</v>
      </c>
      <c r="Q329" s="41">
        <f>137/96</f>
        <v>1.4270833333333333</v>
      </c>
    </row>
    <row r="330" spans="1:17" s="20" customFormat="1" ht="249.95" customHeight="1" x14ac:dyDescent="0.35">
      <c r="A330" s="10" t="s">
        <v>2454</v>
      </c>
      <c r="B330" s="10" t="s">
        <v>3038</v>
      </c>
      <c r="C330" s="10" t="s">
        <v>17</v>
      </c>
      <c r="D330" s="16" t="s">
        <v>2533</v>
      </c>
      <c r="E330" s="16" t="s">
        <v>2534</v>
      </c>
      <c r="F330" s="16" t="s">
        <v>2535</v>
      </c>
      <c r="G330" s="16" t="s">
        <v>2536</v>
      </c>
      <c r="H330" s="16" t="s">
        <v>2537</v>
      </c>
      <c r="I330" s="152" t="s">
        <v>3046</v>
      </c>
      <c r="J330" s="16" t="s">
        <v>2538</v>
      </c>
      <c r="K330" s="16" t="s">
        <v>2532</v>
      </c>
      <c r="L330" s="16" t="s">
        <v>2539</v>
      </c>
      <c r="M330" s="16" t="s">
        <v>2540</v>
      </c>
      <c r="N330" s="10" t="s">
        <v>2541</v>
      </c>
      <c r="O330" s="16" t="s">
        <v>2542</v>
      </c>
      <c r="P330" s="94">
        <f>739/1456</f>
        <v>0.50755494505494503</v>
      </c>
      <c r="Q330" s="54">
        <f>3167/4368</f>
        <v>0.72504578754578752</v>
      </c>
    </row>
    <row r="331" spans="1:17" s="20" customFormat="1" ht="249.95" customHeight="1" x14ac:dyDescent="0.35">
      <c r="A331" s="10" t="s">
        <v>2454</v>
      </c>
      <c r="B331" s="10" t="s">
        <v>3038</v>
      </c>
      <c r="C331" s="10" t="s">
        <v>17</v>
      </c>
      <c r="D331" s="16" t="s">
        <v>898</v>
      </c>
      <c r="E331" s="16" t="s">
        <v>2543</v>
      </c>
      <c r="F331" s="16" t="s">
        <v>2544</v>
      </c>
      <c r="G331" s="16" t="s">
        <v>2545</v>
      </c>
      <c r="H331" s="16" t="s">
        <v>2546</v>
      </c>
      <c r="I331" s="152" t="s">
        <v>3046</v>
      </c>
      <c r="J331" s="16" t="s">
        <v>2547</v>
      </c>
      <c r="K331" s="16" t="s">
        <v>224</v>
      </c>
      <c r="L331" s="10" t="s">
        <v>2548</v>
      </c>
      <c r="M331" s="10" t="s">
        <v>2549</v>
      </c>
      <c r="N331" s="10" t="s">
        <v>2923</v>
      </c>
      <c r="O331" s="10" t="s">
        <v>3004</v>
      </c>
      <c r="P331" s="33">
        <f>9/4</f>
        <v>2.25</v>
      </c>
      <c r="Q331" s="25">
        <f>19/12</f>
        <v>1.5833333333333333</v>
      </c>
    </row>
    <row r="332" spans="1:17" s="96" customFormat="1" ht="249.95" customHeight="1" x14ac:dyDescent="0.35">
      <c r="A332" s="10" t="s">
        <v>2454</v>
      </c>
      <c r="B332" s="10" t="s">
        <v>3038</v>
      </c>
      <c r="C332" s="10" t="s">
        <v>17</v>
      </c>
      <c r="D332" s="16" t="s">
        <v>2550</v>
      </c>
      <c r="E332" s="16" t="s">
        <v>1021</v>
      </c>
      <c r="F332" s="16" t="s">
        <v>2551</v>
      </c>
      <c r="G332" s="16" t="s">
        <v>2552</v>
      </c>
      <c r="H332" s="16" t="s">
        <v>2553</v>
      </c>
      <c r="I332" s="152" t="s">
        <v>3046</v>
      </c>
      <c r="J332" s="16" t="s">
        <v>1026</v>
      </c>
      <c r="K332" s="16" t="s">
        <v>968</v>
      </c>
      <c r="L332" s="16" t="s">
        <v>2554</v>
      </c>
      <c r="M332" s="10" t="s">
        <v>2555</v>
      </c>
      <c r="N332" s="10" t="s">
        <v>2556</v>
      </c>
      <c r="O332" s="10" t="s">
        <v>2557</v>
      </c>
      <c r="P332" s="95">
        <f>86/100</f>
        <v>0.86</v>
      </c>
      <c r="Q332" s="41">
        <f>437/300</f>
        <v>1.4566666666666668</v>
      </c>
    </row>
    <row r="333" spans="1:17" s="20" customFormat="1" ht="249.95" customHeight="1" x14ac:dyDescent="0.35">
      <c r="A333" s="10" t="s">
        <v>2454</v>
      </c>
      <c r="B333" s="10" t="s">
        <v>3038</v>
      </c>
      <c r="C333" s="10" t="s">
        <v>1820</v>
      </c>
      <c r="D333" s="10" t="s">
        <v>30</v>
      </c>
      <c r="E333" s="10" t="s">
        <v>30</v>
      </c>
      <c r="F333" s="10" t="s">
        <v>1992</v>
      </c>
      <c r="G333" s="16" t="s">
        <v>2558</v>
      </c>
      <c r="H333" s="16" t="s">
        <v>2559</v>
      </c>
      <c r="I333" s="152" t="s">
        <v>3046</v>
      </c>
      <c r="J333" s="16" t="s">
        <v>2560</v>
      </c>
      <c r="K333" s="16" t="s">
        <v>2453</v>
      </c>
      <c r="L333" s="10" t="s">
        <v>2561</v>
      </c>
      <c r="M333" s="16" t="s">
        <v>2562</v>
      </c>
      <c r="N333" s="16" t="s">
        <v>2563</v>
      </c>
      <c r="O333" s="10" t="s">
        <v>2564</v>
      </c>
      <c r="P333" s="42" t="s">
        <v>1414</v>
      </c>
      <c r="Q333" s="41">
        <f>3/2</f>
        <v>1.5</v>
      </c>
    </row>
    <row r="334" spans="1:17" s="20" customFormat="1" ht="249.95" customHeight="1" x14ac:dyDescent="0.35">
      <c r="A334" s="10" t="s">
        <v>2454</v>
      </c>
      <c r="B334" s="10" t="s">
        <v>3039</v>
      </c>
      <c r="C334" s="10" t="s">
        <v>29</v>
      </c>
      <c r="D334" s="10" t="s">
        <v>30</v>
      </c>
      <c r="E334" s="16" t="s">
        <v>2565</v>
      </c>
      <c r="F334" s="16" t="s">
        <v>2566</v>
      </c>
      <c r="G334" s="16" t="s">
        <v>2567</v>
      </c>
      <c r="H334" s="16" t="s">
        <v>2568</v>
      </c>
      <c r="I334" s="152" t="s">
        <v>3046</v>
      </c>
      <c r="J334" s="16" t="s">
        <v>2569</v>
      </c>
      <c r="K334" s="16" t="s">
        <v>2453</v>
      </c>
      <c r="L334" s="16" t="s">
        <v>2570</v>
      </c>
      <c r="M334" s="16" t="s">
        <v>2571</v>
      </c>
      <c r="N334" s="97" t="s">
        <v>2572</v>
      </c>
      <c r="O334" s="16" t="s">
        <v>2573</v>
      </c>
      <c r="P334" s="93">
        <f>25/6</f>
        <v>4.166666666666667</v>
      </c>
      <c r="Q334" s="41">
        <f>50/23</f>
        <v>2.1739130434782608</v>
      </c>
    </row>
    <row r="335" spans="1:17" s="20" customFormat="1" ht="249.95" customHeight="1" x14ac:dyDescent="0.35">
      <c r="A335" s="10" t="s">
        <v>2454</v>
      </c>
      <c r="B335" s="10" t="s">
        <v>3039</v>
      </c>
      <c r="C335" s="10" t="s">
        <v>1820</v>
      </c>
      <c r="D335" s="10" t="s">
        <v>30</v>
      </c>
      <c r="E335" s="10" t="s">
        <v>30</v>
      </c>
      <c r="F335" s="10" t="s">
        <v>2489</v>
      </c>
      <c r="G335" s="10" t="s">
        <v>2574</v>
      </c>
      <c r="H335" s="10" t="s">
        <v>2575</v>
      </c>
      <c r="I335" s="152" t="s">
        <v>3046</v>
      </c>
      <c r="J335" s="10" t="s">
        <v>2576</v>
      </c>
      <c r="K335" s="10" t="s">
        <v>2453</v>
      </c>
      <c r="L335" s="16" t="s">
        <v>2577</v>
      </c>
      <c r="M335" s="16" t="s">
        <v>2577</v>
      </c>
      <c r="N335" s="16" t="s">
        <v>2489</v>
      </c>
      <c r="O335" s="16" t="s">
        <v>2578</v>
      </c>
      <c r="P335" s="42" t="s">
        <v>1414</v>
      </c>
      <c r="Q335" s="41">
        <f>16/16</f>
        <v>1</v>
      </c>
    </row>
    <row r="336" spans="1:17" s="20" customFormat="1" ht="249.95" customHeight="1" x14ac:dyDescent="0.35">
      <c r="A336" s="10" t="s">
        <v>2454</v>
      </c>
      <c r="B336" s="10" t="s">
        <v>3039</v>
      </c>
      <c r="C336" s="10" t="s">
        <v>29</v>
      </c>
      <c r="D336" s="10" t="s">
        <v>30</v>
      </c>
      <c r="E336" s="16" t="s">
        <v>2579</v>
      </c>
      <c r="F336" s="10" t="s">
        <v>2580</v>
      </c>
      <c r="G336" s="16" t="s">
        <v>2581</v>
      </c>
      <c r="H336" s="16" t="s">
        <v>2582</v>
      </c>
      <c r="I336" s="152" t="s">
        <v>3046</v>
      </c>
      <c r="J336" s="16" t="s">
        <v>2583</v>
      </c>
      <c r="K336" s="16" t="s">
        <v>2453</v>
      </c>
      <c r="L336" s="16" t="s">
        <v>2584</v>
      </c>
      <c r="M336" s="16" t="s">
        <v>2585</v>
      </c>
      <c r="N336" s="16" t="s">
        <v>2586</v>
      </c>
      <c r="O336" s="16" t="s">
        <v>2587</v>
      </c>
      <c r="P336" s="93">
        <f>242/100</f>
        <v>2.42</v>
      </c>
      <c r="Q336" s="41">
        <f>554/300</f>
        <v>1.8466666666666667</v>
      </c>
    </row>
    <row r="337" spans="1:17" s="20" customFormat="1" ht="249.95" customHeight="1" x14ac:dyDescent="0.35">
      <c r="A337" s="10" t="s">
        <v>2454</v>
      </c>
      <c r="B337" s="10" t="s">
        <v>3039</v>
      </c>
      <c r="C337" s="10" t="s">
        <v>29</v>
      </c>
      <c r="D337" s="10" t="s">
        <v>30</v>
      </c>
      <c r="E337" s="16" t="s">
        <v>2588</v>
      </c>
      <c r="F337" s="16" t="s">
        <v>2589</v>
      </c>
      <c r="G337" s="16" t="s">
        <v>2590</v>
      </c>
      <c r="H337" s="16" t="s">
        <v>2591</v>
      </c>
      <c r="I337" s="152" t="s">
        <v>3046</v>
      </c>
      <c r="J337" s="16" t="s">
        <v>2592</v>
      </c>
      <c r="K337" s="16" t="s">
        <v>2453</v>
      </c>
      <c r="L337" s="16" t="s">
        <v>2593</v>
      </c>
      <c r="M337" s="16" t="s">
        <v>2594</v>
      </c>
      <c r="N337" s="16" t="s">
        <v>2595</v>
      </c>
      <c r="O337" s="16" t="s">
        <v>2596</v>
      </c>
      <c r="P337" s="93">
        <f>1/1</f>
        <v>1</v>
      </c>
      <c r="Q337" s="41">
        <f>3/3</f>
        <v>1</v>
      </c>
    </row>
    <row r="338" spans="1:17" s="20" customFormat="1" ht="249.95" customHeight="1" x14ac:dyDescent="0.35">
      <c r="A338" s="10" t="s">
        <v>2454</v>
      </c>
      <c r="B338" s="10" t="s">
        <v>3039</v>
      </c>
      <c r="C338" s="10" t="s">
        <v>1820</v>
      </c>
      <c r="D338" s="10" t="s">
        <v>30</v>
      </c>
      <c r="E338" s="10" t="s">
        <v>30</v>
      </c>
      <c r="F338" s="16" t="s">
        <v>2597</v>
      </c>
      <c r="G338" s="16" t="s">
        <v>2598</v>
      </c>
      <c r="H338" s="16" t="s">
        <v>2599</v>
      </c>
      <c r="I338" s="152" t="s">
        <v>3046</v>
      </c>
      <c r="J338" s="16" t="s">
        <v>2600</v>
      </c>
      <c r="K338" s="16" t="s">
        <v>2453</v>
      </c>
      <c r="L338" s="16" t="s">
        <v>2601</v>
      </c>
      <c r="M338" s="16" t="s">
        <v>2601</v>
      </c>
      <c r="N338" s="16" t="s">
        <v>2602</v>
      </c>
      <c r="O338" s="16" t="s">
        <v>2603</v>
      </c>
      <c r="P338" s="16" t="s">
        <v>1414</v>
      </c>
      <c r="Q338" s="41">
        <f>305/350</f>
        <v>0.87142857142857144</v>
      </c>
    </row>
    <row r="339" spans="1:17" s="20" customFormat="1" ht="249.95" customHeight="1" x14ac:dyDescent="0.35">
      <c r="A339" s="10" t="s">
        <v>2454</v>
      </c>
      <c r="B339" s="10" t="s">
        <v>3039</v>
      </c>
      <c r="C339" s="10" t="s">
        <v>29</v>
      </c>
      <c r="D339" s="10" t="s">
        <v>30</v>
      </c>
      <c r="E339" s="16" t="s">
        <v>2604</v>
      </c>
      <c r="F339" s="16" t="s">
        <v>2605</v>
      </c>
      <c r="G339" s="16" t="s">
        <v>2606</v>
      </c>
      <c r="H339" s="16" t="s">
        <v>2607</v>
      </c>
      <c r="I339" s="152" t="s">
        <v>3046</v>
      </c>
      <c r="J339" s="16" t="s">
        <v>2608</v>
      </c>
      <c r="K339" s="16" t="s">
        <v>2453</v>
      </c>
      <c r="L339" s="10" t="s">
        <v>2604</v>
      </c>
      <c r="M339" s="16" t="s">
        <v>2609</v>
      </c>
      <c r="N339" s="16" t="s">
        <v>2472</v>
      </c>
      <c r="O339" s="16" t="s">
        <v>2610</v>
      </c>
      <c r="P339" s="123"/>
      <c r="Q339" s="124"/>
    </row>
    <row r="340" spans="1:17" s="20" customFormat="1" ht="249.95" customHeight="1" x14ac:dyDescent="0.35">
      <c r="A340" s="10" t="s">
        <v>2454</v>
      </c>
      <c r="B340" s="10" t="s">
        <v>3039</v>
      </c>
      <c r="C340" s="10" t="s">
        <v>17</v>
      </c>
      <c r="D340" s="10" t="s">
        <v>170</v>
      </c>
      <c r="E340" s="10" t="s">
        <v>2611</v>
      </c>
      <c r="F340" s="10" t="s">
        <v>746</v>
      </c>
      <c r="G340" s="16" t="s">
        <v>2612</v>
      </c>
      <c r="H340" s="16" t="s">
        <v>2613</v>
      </c>
      <c r="I340" s="152" t="s">
        <v>3046</v>
      </c>
      <c r="J340" s="16" t="s">
        <v>2614</v>
      </c>
      <c r="K340" s="16" t="s">
        <v>2453</v>
      </c>
      <c r="L340" s="16" t="s">
        <v>2615</v>
      </c>
      <c r="M340" s="16" t="s">
        <v>2616</v>
      </c>
      <c r="N340" s="16" t="s">
        <v>2617</v>
      </c>
      <c r="O340" s="16" t="s">
        <v>2618</v>
      </c>
      <c r="P340" s="99">
        <f>12/10</f>
        <v>1.2</v>
      </c>
      <c r="Q340" s="48">
        <f>22/30</f>
        <v>0.73333333333333328</v>
      </c>
    </row>
    <row r="341" spans="1:17" s="20" customFormat="1" ht="249.95" customHeight="1" x14ac:dyDescent="0.35">
      <c r="A341" s="10" t="s">
        <v>2454</v>
      </c>
      <c r="B341" s="10" t="s">
        <v>3039</v>
      </c>
      <c r="C341" s="10" t="s">
        <v>29</v>
      </c>
      <c r="D341" s="10" t="s">
        <v>30</v>
      </c>
      <c r="E341" s="16" t="s">
        <v>2619</v>
      </c>
      <c r="F341" s="16" t="s">
        <v>2620</v>
      </c>
      <c r="G341" s="16" t="s">
        <v>2621</v>
      </c>
      <c r="H341" s="16" t="s">
        <v>2622</v>
      </c>
      <c r="I341" s="152" t="s">
        <v>3046</v>
      </c>
      <c r="J341" s="16" t="s">
        <v>2623</v>
      </c>
      <c r="K341" s="16" t="s">
        <v>2453</v>
      </c>
      <c r="L341" s="16" t="s">
        <v>2624</v>
      </c>
      <c r="M341" s="16" t="s">
        <v>2625</v>
      </c>
      <c r="N341" s="16">
        <v>0</v>
      </c>
      <c r="O341" s="16" t="s">
        <v>2626</v>
      </c>
      <c r="P341" s="139">
        <v>0</v>
      </c>
      <c r="Q341" s="25">
        <f>10/9</f>
        <v>1.1111111111111112</v>
      </c>
    </row>
    <row r="342" spans="1:17" s="20" customFormat="1" ht="249.95" customHeight="1" x14ac:dyDescent="0.35">
      <c r="A342" s="10" t="s">
        <v>2454</v>
      </c>
      <c r="B342" s="10" t="s">
        <v>3039</v>
      </c>
      <c r="C342" s="10" t="s">
        <v>17</v>
      </c>
      <c r="D342" s="16" t="s">
        <v>2627</v>
      </c>
      <c r="E342" s="16" t="s">
        <v>2627</v>
      </c>
      <c r="F342" s="16" t="s">
        <v>2627</v>
      </c>
      <c r="G342" s="16" t="s">
        <v>2628</v>
      </c>
      <c r="H342" s="16" t="s">
        <v>2629</v>
      </c>
      <c r="I342" s="152" t="s">
        <v>3047</v>
      </c>
      <c r="J342" s="16" t="s">
        <v>2630</v>
      </c>
      <c r="K342" s="16" t="s">
        <v>2532</v>
      </c>
      <c r="L342" s="10" t="s">
        <v>2631</v>
      </c>
      <c r="M342" s="10" t="s">
        <v>2632</v>
      </c>
      <c r="N342" s="10" t="s">
        <v>2633</v>
      </c>
      <c r="O342" s="10" t="s">
        <v>2633</v>
      </c>
      <c r="P342" s="100">
        <v>1</v>
      </c>
      <c r="Q342" s="54">
        <v>1</v>
      </c>
    </row>
    <row r="343" spans="1:17" s="20" customFormat="1" ht="249.95" customHeight="1" x14ac:dyDescent="0.35">
      <c r="A343" s="10" t="s">
        <v>2454</v>
      </c>
      <c r="B343" s="10" t="s">
        <v>3039</v>
      </c>
      <c r="C343" s="10" t="s">
        <v>17</v>
      </c>
      <c r="D343" s="16" t="s">
        <v>2634</v>
      </c>
      <c r="E343" s="16" t="s">
        <v>2635</v>
      </c>
      <c r="F343" s="16" t="s">
        <v>2636</v>
      </c>
      <c r="G343" s="16" t="s">
        <v>2637</v>
      </c>
      <c r="H343" s="16" t="s">
        <v>2638</v>
      </c>
      <c r="I343" s="152" t="s">
        <v>3046</v>
      </c>
      <c r="J343" s="16" t="s">
        <v>2639</v>
      </c>
      <c r="K343" s="16" t="s">
        <v>2532</v>
      </c>
      <c r="L343" s="16" t="s">
        <v>2640</v>
      </c>
      <c r="M343" s="16" t="s">
        <v>2641</v>
      </c>
      <c r="N343" s="10" t="s">
        <v>2642</v>
      </c>
      <c r="O343" s="16" t="s">
        <v>2643</v>
      </c>
      <c r="P343" s="94">
        <f>637/1095</f>
        <v>0.58173515981735158</v>
      </c>
      <c r="Q343" s="54">
        <f>3366/3285</f>
        <v>1.0246575342465754</v>
      </c>
    </row>
    <row r="344" spans="1:17" s="20" customFormat="1" ht="249.95" customHeight="1" x14ac:dyDescent="0.35">
      <c r="A344" s="10" t="s">
        <v>2454</v>
      </c>
      <c r="B344" s="10" t="s">
        <v>3039</v>
      </c>
      <c r="C344" s="10" t="s">
        <v>17</v>
      </c>
      <c r="D344" s="16" t="s">
        <v>2644</v>
      </c>
      <c r="E344" s="16" t="s">
        <v>2645</v>
      </c>
      <c r="F344" s="16" t="s">
        <v>2646</v>
      </c>
      <c r="G344" s="16" t="s">
        <v>2647</v>
      </c>
      <c r="H344" s="16" t="s">
        <v>2648</v>
      </c>
      <c r="I344" s="152" t="s">
        <v>3046</v>
      </c>
      <c r="J344" s="16" t="s">
        <v>2649</v>
      </c>
      <c r="K344" s="16" t="s">
        <v>2532</v>
      </c>
      <c r="L344" s="16" t="s">
        <v>2650</v>
      </c>
      <c r="M344" s="16" t="s">
        <v>2651</v>
      </c>
      <c r="N344" s="10" t="s">
        <v>2652</v>
      </c>
      <c r="O344" s="16" t="s">
        <v>2653</v>
      </c>
      <c r="P344" s="94">
        <f>27/52</f>
        <v>0.51923076923076927</v>
      </c>
      <c r="Q344" s="61">
        <f>99/156</f>
        <v>0.63461538461538458</v>
      </c>
    </row>
    <row r="345" spans="1:17" s="20" customFormat="1" ht="249.95" customHeight="1" x14ac:dyDescent="0.35">
      <c r="A345" s="10" t="s">
        <v>2454</v>
      </c>
      <c r="B345" s="10" t="s">
        <v>3040</v>
      </c>
      <c r="C345" s="10" t="s">
        <v>17</v>
      </c>
      <c r="D345" s="16" t="s">
        <v>2655</v>
      </c>
      <c r="E345" s="16" t="s">
        <v>2656</v>
      </c>
      <c r="F345" s="16" t="s">
        <v>2657</v>
      </c>
      <c r="G345" s="16" t="s">
        <v>2658</v>
      </c>
      <c r="H345" s="16" t="s">
        <v>2659</v>
      </c>
      <c r="I345" s="152" t="s">
        <v>3046</v>
      </c>
      <c r="J345" s="16" t="s">
        <v>2660</v>
      </c>
      <c r="K345" s="16" t="s">
        <v>2654</v>
      </c>
      <c r="L345" s="16" t="s">
        <v>2661</v>
      </c>
      <c r="M345" s="16" t="s">
        <v>2662</v>
      </c>
      <c r="N345" s="10" t="s">
        <v>2663</v>
      </c>
      <c r="O345" s="16" t="s">
        <v>2664</v>
      </c>
      <c r="P345" s="138">
        <f>91/332</f>
        <v>0.2740963855421687</v>
      </c>
      <c r="Q345" s="37">
        <f>589/996</f>
        <v>0.59136546184738958</v>
      </c>
    </row>
    <row r="346" spans="1:17" s="20" customFormat="1" ht="249.95" customHeight="1" x14ac:dyDescent="0.35">
      <c r="A346" s="10" t="s">
        <v>2454</v>
      </c>
      <c r="B346" s="10" t="s">
        <v>3040</v>
      </c>
      <c r="C346" s="10" t="s">
        <v>29</v>
      </c>
      <c r="D346" s="10" t="s">
        <v>30</v>
      </c>
      <c r="E346" s="16" t="s">
        <v>1557</v>
      </c>
      <c r="F346" s="16" t="s">
        <v>1557</v>
      </c>
      <c r="G346" s="16" t="s">
        <v>2665</v>
      </c>
      <c r="H346" s="16" t="s">
        <v>2666</v>
      </c>
      <c r="I346" s="152" t="s">
        <v>3046</v>
      </c>
      <c r="J346" s="16" t="s">
        <v>2667</v>
      </c>
      <c r="K346" s="16" t="s">
        <v>2654</v>
      </c>
      <c r="L346" s="16" t="s">
        <v>2668</v>
      </c>
      <c r="M346" s="16" t="s">
        <v>403</v>
      </c>
      <c r="N346" s="49"/>
      <c r="O346" s="16" t="s">
        <v>2669</v>
      </c>
      <c r="P346" s="123"/>
      <c r="Q346" s="124"/>
    </row>
    <row r="347" spans="1:17" s="20" customFormat="1" ht="249.95" customHeight="1" x14ac:dyDescent="0.35">
      <c r="A347" s="10" t="s">
        <v>2454</v>
      </c>
      <c r="B347" s="10" t="s">
        <v>3040</v>
      </c>
      <c r="C347" s="10" t="s">
        <v>29</v>
      </c>
      <c r="D347" s="10" t="s">
        <v>30</v>
      </c>
      <c r="E347" s="98" t="s">
        <v>1090</v>
      </c>
      <c r="F347" s="87" t="s">
        <v>376</v>
      </c>
      <c r="G347" s="16" t="s">
        <v>2670</v>
      </c>
      <c r="H347" s="16" t="s">
        <v>2671</v>
      </c>
      <c r="I347" s="152" t="s">
        <v>3046</v>
      </c>
      <c r="J347" s="16" t="s">
        <v>2672</v>
      </c>
      <c r="K347" s="16" t="s">
        <v>2654</v>
      </c>
      <c r="L347" s="16" t="s">
        <v>2673</v>
      </c>
      <c r="M347" s="16" t="s">
        <v>403</v>
      </c>
      <c r="N347" s="49"/>
      <c r="O347" s="16" t="s">
        <v>2674</v>
      </c>
      <c r="P347" s="123"/>
      <c r="Q347" s="124"/>
    </row>
    <row r="348" spans="1:17" s="20" customFormat="1" ht="249.95" customHeight="1" x14ac:dyDescent="0.35">
      <c r="A348" s="10" t="s">
        <v>2454</v>
      </c>
      <c r="B348" s="10" t="s">
        <v>3040</v>
      </c>
      <c r="C348" s="10" t="s">
        <v>17</v>
      </c>
      <c r="D348" s="101" t="s">
        <v>2675</v>
      </c>
      <c r="E348" s="101" t="s">
        <v>2676</v>
      </c>
      <c r="F348" s="101" t="s">
        <v>2677</v>
      </c>
      <c r="G348" s="16" t="s">
        <v>2678</v>
      </c>
      <c r="H348" s="16" t="s">
        <v>2679</v>
      </c>
      <c r="I348" s="152" t="s">
        <v>3046</v>
      </c>
      <c r="J348" s="16" t="s">
        <v>2680</v>
      </c>
      <c r="K348" s="16" t="s">
        <v>2654</v>
      </c>
      <c r="L348" s="16" t="s">
        <v>2681</v>
      </c>
      <c r="M348" s="16" t="s">
        <v>2682</v>
      </c>
      <c r="N348" s="10" t="s">
        <v>2924</v>
      </c>
      <c r="O348" s="16" t="s">
        <v>3005</v>
      </c>
      <c r="P348" s="138">
        <v>0.39</v>
      </c>
      <c r="Q348" s="37">
        <v>0.53</v>
      </c>
    </row>
    <row r="349" spans="1:17" s="20" customFormat="1" ht="249.95" customHeight="1" x14ac:dyDescent="0.35">
      <c r="A349" s="10" t="s">
        <v>2454</v>
      </c>
      <c r="B349" s="10" t="s">
        <v>3040</v>
      </c>
      <c r="C349" s="10" t="s">
        <v>29</v>
      </c>
      <c r="D349" s="10" t="s">
        <v>30</v>
      </c>
      <c r="E349" s="16" t="s">
        <v>1090</v>
      </c>
      <c r="F349" s="16" t="s">
        <v>349</v>
      </c>
      <c r="G349" s="16" t="s">
        <v>2683</v>
      </c>
      <c r="H349" s="16" t="s">
        <v>2684</v>
      </c>
      <c r="I349" s="152" t="s">
        <v>3046</v>
      </c>
      <c r="J349" s="16" t="s">
        <v>2685</v>
      </c>
      <c r="K349" s="16" t="s">
        <v>2654</v>
      </c>
      <c r="L349" s="16" t="s">
        <v>2686</v>
      </c>
      <c r="M349" s="16" t="s">
        <v>167</v>
      </c>
      <c r="N349" s="10" t="s">
        <v>399</v>
      </c>
      <c r="O349" s="16" t="s">
        <v>3006</v>
      </c>
      <c r="P349" s="100">
        <f>3/2</f>
        <v>1.5</v>
      </c>
      <c r="Q349" s="25">
        <f>4/4</f>
        <v>1</v>
      </c>
    </row>
    <row r="350" spans="1:17" s="20" customFormat="1" ht="249.95" customHeight="1" x14ac:dyDescent="0.35">
      <c r="A350" s="10" t="s">
        <v>2454</v>
      </c>
      <c r="B350" s="10" t="s">
        <v>3040</v>
      </c>
      <c r="C350" s="10" t="s">
        <v>29</v>
      </c>
      <c r="D350" s="10" t="s">
        <v>30</v>
      </c>
      <c r="E350" s="16" t="s">
        <v>2687</v>
      </c>
      <c r="F350" s="16" t="s">
        <v>2687</v>
      </c>
      <c r="G350" s="16" t="s">
        <v>2688</v>
      </c>
      <c r="H350" s="16" t="s">
        <v>2689</v>
      </c>
      <c r="I350" s="152" t="s">
        <v>3048</v>
      </c>
      <c r="J350" s="16" t="s">
        <v>2690</v>
      </c>
      <c r="K350" s="16" t="s">
        <v>2654</v>
      </c>
      <c r="L350" s="10" t="s">
        <v>2691</v>
      </c>
      <c r="M350" s="16" t="s">
        <v>2692</v>
      </c>
      <c r="N350" s="10" t="s">
        <v>2925</v>
      </c>
      <c r="O350" s="10" t="s">
        <v>2925</v>
      </c>
      <c r="P350" s="140">
        <v>0.64</v>
      </c>
      <c r="Q350" s="143">
        <v>0.64</v>
      </c>
    </row>
    <row r="351" spans="1:17" s="20" customFormat="1" ht="249.95" customHeight="1" x14ac:dyDescent="0.35">
      <c r="A351" s="10" t="s">
        <v>2454</v>
      </c>
      <c r="B351" s="10" t="s">
        <v>3040</v>
      </c>
      <c r="C351" s="10" t="s">
        <v>29</v>
      </c>
      <c r="D351" s="10" t="s">
        <v>30</v>
      </c>
      <c r="E351" s="87" t="s">
        <v>2693</v>
      </c>
      <c r="F351" s="87" t="s">
        <v>2693</v>
      </c>
      <c r="G351" s="16" t="s">
        <v>2694</v>
      </c>
      <c r="H351" s="16" t="s">
        <v>2695</v>
      </c>
      <c r="I351" s="152" t="s">
        <v>3048</v>
      </c>
      <c r="J351" s="16" t="s">
        <v>2696</v>
      </c>
      <c r="K351" s="16" t="s">
        <v>2654</v>
      </c>
      <c r="L351" s="10" t="s">
        <v>2697</v>
      </c>
      <c r="M351" s="16" t="s">
        <v>2698</v>
      </c>
      <c r="N351" s="10" t="s">
        <v>2926</v>
      </c>
      <c r="O351" s="10" t="s">
        <v>2926</v>
      </c>
      <c r="P351" s="141">
        <v>1.17</v>
      </c>
      <c r="Q351" s="145">
        <v>1.17</v>
      </c>
    </row>
    <row r="352" spans="1:17" s="20" customFormat="1" ht="249.95" customHeight="1" x14ac:dyDescent="0.35">
      <c r="A352" s="10" t="s">
        <v>2454</v>
      </c>
      <c r="B352" s="10" t="s">
        <v>3040</v>
      </c>
      <c r="C352" s="10" t="s">
        <v>29</v>
      </c>
      <c r="D352" s="10" t="s">
        <v>30</v>
      </c>
      <c r="E352" s="16" t="s">
        <v>2699</v>
      </c>
      <c r="F352" s="16" t="s">
        <v>2699</v>
      </c>
      <c r="G352" s="16" t="s">
        <v>2700</v>
      </c>
      <c r="H352" s="16" t="s">
        <v>2701</v>
      </c>
      <c r="I352" s="152" t="s">
        <v>3048</v>
      </c>
      <c r="J352" s="16" t="s">
        <v>2702</v>
      </c>
      <c r="K352" s="16" t="s">
        <v>2654</v>
      </c>
      <c r="L352" s="16" t="s">
        <v>2703</v>
      </c>
      <c r="M352" s="16" t="s">
        <v>2704</v>
      </c>
      <c r="N352" s="10" t="s">
        <v>2705</v>
      </c>
      <c r="O352" s="10" t="s">
        <v>2705</v>
      </c>
      <c r="P352" s="25">
        <v>0.1918</v>
      </c>
      <c r="Q352" s="25">
        <v>0.1918</v>
      </c>
    </row>
    <row r="353" spans="1:17" s="20" customFormat="1" ht="249.95" customHeight="1" x14ac:dyDescent="0.35">
      <c r="A353" s="10" t="s">
        <v>2454</v>
      </c>
      <c r="B353" s="10" t="s">
        <v>3040</v>
      </c>
      <c r="C353" s="10" t="s">
        <v>29</v>
      </c>
      <c r="D353" s="10" t="s">
        <v>30</v>
      </c>
      <c r="E353" s="16" t="s">
        <v>162</v>
      </c>
      <c r="F353" s="16" t="s">
        <v>162</v>
      </c>
      <c r="G353" s="16" t="s">
        <v>2706</v>
      </c>
      <c r="H353" s="16" t="s">
        <v>2707</v>
      </c>
      <c r="I353" s="152" t="s">
        <v>3046</v>
      </c>
      <c r="J353" s="16" t="s">
        <v>2708</v>
      </c>
      <c r="K353" s="16" t="s">
        <v>2654</v>
      </c>
      <c r="L353" s="16" t="s">
        <v>2709</v>
      </c>
      <c r="M353" s="16" t="s">
        <v>167</v>
      </c>
      <c r="N353" s="10" t="s">
        <v>1090</v>
      </c>
      <c r="O353" s="16" t="s">
        <v>3007</v>
      </c>
      <c r="P353" s="139">
        <f>2/5</f>
        <v>0.4</v>
      </c>
      <c r="Q353" s="25">
        <f>5/5</f>
        <v>1</v>
      </c>
    </row>
    <row r="354" spans="1:17" s="20" customFormat="1" ht="249.95" customHeight="1" x14ac:dyDescent="0.35">
      <c r="A354" s="10" t="s">
        <v>2454</v>
      </c>
      <c r="B354" s="10" t="s">
        <v>3040</v>
      </c>
      <c r="C354" s="10" t="s">
        <v>17</v>
      </c>
      <c r="D354" s="10" t="s">
        <v>2711</v>
      </c>
      <c r="E354" s="10" t="s">
        <v>2712</v>
      </c>
      <c r="F354" s="10" t="s">
        <v>2713</v>
      </c>
      <c r="G354" s="16" t="s">
        <v>2714</v>
      </c>
      <c r="H354" s="16" t="s">
        <v>2715</v>
      </c>
      <c r="I354" s="152" t="s">
        <v>3046</v>
      </c>
      <c r="J354" s="16" t="s">
        <v>2716</v>
      </c>
      <c r="K354" s="16" t="s">
        <v>2710</v>
      </c>
      <c r="L354" s="10" t="s">
        <v>2717</v>
      </c>
      <c r="M354" s="16" t="s">
        <v>2718</v>
      </c>
      <c r="N354" s="16" t="s">
        <v>2718</v>
      </c>
      <c r="O354" s="10" t="s">
        <v>2719</v>
      </c>
      <c r="P354" s="94">
        <f>8/16</f>
        <v>0.5</v>
      </c>
      <c r="Q354" s="53">
        <f>29/50</f>
        <v>0.57999999999999996</v>
      </c>
    </row>
    <row r="355" spans="1:17" s="20" customFormat="1" ht="249.95" customHeight="1" x14ac:dyDescent="0.35">
      <c r="A355" s="10" t="s">
        <v>2454</v>
      </c>
      <c r="B355" s="10"/>
      <c r="C355" s="10" t="s">
        <v>17</v>
      </c>
      <c r="D355" s="10" t="s">
        <v>2720</v>
      </c>
      <c r="E355" s="10" t="s">
        <v>2720</v>
      </c>
      <c r="F355" s="10" t="s">
        <v>2720</v>
      </c>
      <c r="G355" s="16" t="s">
        <v>2721</v>
      </c>
      <c r="H355" s="16" t="s">
        <v>2722</v>
      </c>
      <c r="I355" s="65" t="s">
        <v>3047</v>
      </c>
      <c r="J355" s="16" t="s">
        <v>2723</v>
      </c>
      <c r="K355" s="16" t="s">
        <v>2710</v>
      </c>
      <c r="L355" s="10"/>
      <c r="M355" s="16"/>
      <c r="N355" s="16" t="s">
        <v>2724</v>
      </c>
      <c r="O355" s="10" t="s">
        <v>2724</v>
      </c>
      <c r="P355" s="102" t="s">
        <v>2725</v>
      </c>
      <c r="Q355" s="103" t="s">
        <v>2726</v>
      </c>
    </row>
    <row r="356" spans="1:17" s="20" customFormat="1" ht="249.95" customHeight="1" x14ac:dyDescent="0.35">
      <c r="A356" s="10" t="s">
        <v>2454</v>
      </c>
      <c r="B356" s="10" t="s">
        <v>3040</v>
      </c>
      <c r="C356" s="10" t="s">
        <v>17</v>
      </c>
      <c r="D356" s="10" t="s">
        <v>2727</v>
      </c>
      <c r="E356" s="10" t="s">
        <v>2728</v>
      </c>
      <c r="F356" s="10" t="s">
        <v>2729</v>
      </c>
      <c r="G356" s="16" t="s">
        <v>2730</v>
      </c>
      <c r="H356" s="16" t="s">
        <v>2731</v>
      </c>
      <c r="I356" s="152" t="s">
        <v>3046</v>
      </c>
      <c r="J356" s="16" t="s">
        <v>2732</v>
      </c>
      <c r="K356" s="16" t="s">
        <v>2710</v>
      </c>
      <c r="L356" s="16" t="s">
        <v>2733</v>
      </c>
      <c r="M356" s="16" t="s">
        <v>2734</v>
      </c>
      <c r="N356" s="16" t="s">
        <v>2734</v>
      </c>
      <c r="O356" s="16" t="s">
        <v>2735</v>
      </c>
      <c r="P356" s="94">
        <f>11/20</f>
        <v>0.55000000000000004</v>
      </c>
      <c r="Q356" s="104">
        <f>32/60</f>
        <v>0.53333333333333333</v>
      </c>
    </row>
    <row r="357" spans="1:17" s="20" customFormat="1" ht="249.95" customHeight="1" x14ac:dyDescent="0.35">
      <c r="A357" s="10" t="s">
        <v>2454</v>
      </c>
      <c r="B357" s="10" t="s">
        <v>3040</v>
      </c>
      <c r="C357" s="10" t="s">
        <v>17</v>
      </c>
      <c r="D357" s="16" t="s">
        <v>2736</v>
      </c>
      <c r="E357" s="16" t="s">
        <v>2736</v>
      </c>
      <c r="F357" s="16" t="s">
        <v>2736</v>
      </c>
      <c r="G357" s="16" t="s">
        <v>2737</v>
      </c>
      <c r="H357" s="16" t="s">
        <v>2738</v>
      </c>
      <c r="I357" s="152" t="s">
        <v>3047</v>
      </c>
      <c r="J357" s="16" t="s">
        <v>2739</v>
      </c>
      <c r="K357" s="16" t="s">
        <v>2710</v>
      </c>
      <c r="L357" s="16" t="s">
        <v>2741</v>
      </c>
      <c r="M357" s="16" t="s">
        <v>2740</v>
      </c>
      <c r="N357" s="16" t="s">
        <v>2742</v>
      </c>
      <c r="O357" s="16" t="s">
        <v>2743</v>
      </c>
      <c r="P357" s="105">
        <v>11.4</v>
      </c>
      <c r="Q357" s="102">
        <v>9.1999999999999993</v>
      </c>
    </row>
    <row r="358" spans="1:17" s="20" customFormat="1" ht="249.95" customHeight="1" x14ac:dyDescent="0.35">
      <c r="A358" s="10" t="s">
        <v>2454</v>
      </c>
      <c r="B358" s="10" t="s">
        <v>3041</v>
      </c>
      <c r="C358" s="10" t="s">
        <v>17</v>
      </c>
      <c r="D358" s="16" t="s">
        <v>2744</v>
      </c>
      <c r="E358" s="16" t="s">
        <v>2745</v>
      </c>
      <c r="F358" s="16" t="s">
        <v>2746</v>
      </c>
      <c r="G358" s="16" t="s">
        <v>2747</v>
      </c>
      <c r="H358" s="16" t="s">
        <v>2748</v>
      </c>
      <c r="I358" s="152" t="s">
        <v>3046</v>
      </c>
      <c r="J358" s="16" t="s">
        <v>2749</v>
      </c>
      <c r="K358" s="16" t="s">
        <v>2654</v>
      </c>
      <c r="L358" s="16" t="s">
        <v>2750</v>
      </c>
      <c r="M358" s="16" t="s">
        <v>2751</v>
      </c>
      <c r="N358" s="10" t="s">
        <v>2751</v>
      </c>
      <c r="O358" s="16" t="s">
        <v>2752</v>
      </c>
      <c r="P358" s="138">
        <f>2/4</f>
        <v>0.5</v>
      </c>
      <c r="Q358" s="25">
        <f>9/12</f>
        <v>0.75</v>
      </c>
    </row>
    <row r="359" spans="1:17" s="20" customFormat="1" ht="409.5" customHeight="1" x14ac:dyDescent="0.35">
      <c r="A359" s="10" t="s">
        <v>2454</v>
      </c>
      <c r="B359" s="10" t="s">
        <v>3041</v>
      </c>
      <c r="C359" s="10" t="s">
        <v>17</v>
      </c>
      <c r="D359" s="16" t="s">
        <v>2753</v>
      </c>
      <c r="E359" s="16" t="s">
        <v>2754</v>
      </c>
      <c r="F359" s="16" t="s">
        <v>2755</v>
      </c>
      <c r="G359" s="16" t="s">
        <v>2756</v>
      </c>
      <c r="H359" s="16" t="s">
        <v>2757</v>
      </c>
      <c r="I359" s="152" t="s">
        <v>3046</v>
      </c>
      <c r="J359" s="16" t="s">
        <v>2758</v>
      </c>
      <c r="K359" s="16" t="s">
        <v>224</v>
      </c>
      <c r="L359" s="10" t="s">
        <v>2759</v>
      </c>
      <c r="M359" s="72" t="s">
        <v>2760</v>
      </c>
      <c r="N359" s="106" t="s">
        <v>2761</v>
      </c>
      <c r="O359" s="72" t="s">
        <v>2762</v>
      </c>
      <c r="P359" s="24">
        <f>3/4</f>
        <v>0.75</v>
      </c>
      <c r="Q359" s="25">
        <f>12/12</f>
        <v>1</v>
      </c>
    </row>
    <row r="360" spans="1:17" s="20" customFormat="1" ht="364.5" customHeight="1" x14ac:dyDescent="0.35">
      <c r="A360" s="10" t="s">
        <v>2454</v>
      </c>
      <c r="B360" s="10" t="s">
        <v>3041</v>
      </c>
      <c r="C360" s="10" t="s">
        <v>17</v>
      </c>
      <c r="D360" s="107" t="s">
        <v>2763</v>
      </c>
      <c r="E360" s="107" t="s">
        <v>2763</v>
      </c>
      <c r="F360" s="107" t="s">
        <v>2763</v>
      </c>
      <c r="G360" s="16" t="s">
        <v>2764</v>
      </c>
      <c r="H360" s="16" t="s">
        <v>2765</v>
      </c>
      <c r="I360" s="152" t="s">
        <v>3047</v>
      </c>
      <c r="J360" s="16" t="s">
        <v>2766</v>
      </c>
      <c r="K360" s="16" t="s">
        <v>224</v>
      </c>
      <c r="L360" s="10" t="s">
        <v>2767</v>
      </c>
      <c r="M360" s="23">
        <v>0.99409999999999998</v>
      </c>
      <c r="N360" s="38">
        <v>1</v>
      </c>
      <c r="O360" s="38">
        <v>1</v>
      </c>
      <c r="P360" s="54">
        <v>1</v>
      </c>
      <c r="Q360" s="54">
        <v>1</v>
      </c>
    </row>
    <row r="361" spans="1:17" s="20" customFormat="1" ht="249.95" customHeight="1" x14ac:dyDescent="0.35">
      <c r="A361" s="10" t="s">
        <v>2454</v>
      </c>
      <c r="B361" s="10" t="s">
        <v>3042</v>
      </c>
      <c r="C361" s="10" t="s">
        <v>17</v>
      </c>
      <c r="D361" s="16" t="s">
        <v>2768</v>
      </c>
      <c r="E361" s="16" t="s">
        <v>2769</v>
      </c>
      <c r="F361" s="16" t="s">
        <v>2770</v>
      </c>
      <c r="G361" s="16" t="s">
        <v>2771</v>
      </c>
      <c r="H361" s="16" t="s">
        <v>2772</v>
      </c>
      <c r="I361" s="152" t="s">
        <v>3046</v>
      </c>
      <c r="J361" s="16" t="s">
        <v>2773</v>
      </c>
      <c r="K361" s="16" t="s">
        <v>224</v>
      </c>
      <c r="L361" s="10" t="s">
        <v>2774</v>
      </c>
      <c r="M361" s="10" t="s">
        <v>2775</v>
      </c>
      <c r="N361" s="10" t="s">
        <v>2927</v>
      </c>
      <c r="O361" s="10" t="s">
        <v>3008</v>
      </c>
      <c r="P361" s="24">
        <f>269/336</f>
        <v>0.80059523809523814</v>
      </c>
      <c r="Q361" s="25">
        <f>936/1008</f>
        <v>0.9285714285714286</v>
      </c>
    </row>
    <row r="362" spans="1:17" s="20" customFormat="1" ht="249.95" customHeight="1" x14ac:dyDescent="0.35">
      <c r="A362" s="10" t="s">
        <v>2454</v>
      </c>
      <c r="B362" s="10" t="s">
        <v>3042</v>
      </c>
      <c r="C362" s="10" t="s">
        <v>17</v>
      </c>
      <c r="D362" s="16" t="s">
        <v>2190</v>
      </c>
      <c r="E362" s="16" t="s">
        <v>2776</v>
      </c>
      <c r="F362" s="16" t="s">
        <v>2777</v>
      </c>
      <c r="G362" s="16" t="s">
        <v>2778</v>
      </c>
      <c r="H362" s="16" t="s">
        <v>2779</v>
      </c>
      <c r="I362" s="152" t="s">
        <v>3046</v>
      </c>
      <c r="J362" s="16" t="s">
        <v>2780</v>
      </c>
      <c r="K362" s="16" t="s">
        <v>224</v>
      </c>
      <c r="L362" s="10" t="s">
        <v>2782</v>
      </c>
      <c r="M362" s="10" t="s">
        <v>2781</v>
      </c>
      <c r="N362" s="10" t="s">
        <v>2783</v>
      </c>
      <c r="O362" s="10" t="s">
        <v>2784</v>
      </c>
      <c r="P362" s="35">
        <f>0/22</f>
        <v>0</v>
      </c>
      <c r="Q362" s="43">
        <f>9/66</f>
        <v>0.13636363636363635</v>
      </c>
    </row>
    <row r="363" spans="1:17" s="20" customFormat="1" ht="249.95" customHeight="1" x14ac:dyDescent="0.35">
      <c r="A363" s="10" t="s">
        <v>2454</v>
      </c>
      <c r="B363" s="10" t="s">
        <v>3042</v>
      </c>
      <c r="C363" s="10" t="s">
        <v>17</v>
      </c>
      <c r="D363" s="16" t="s">
        <v>2785</v>
      </c>
      <c r="E363" s="16" t="s">
        <v>2786</v>
      </c>
      <c r="F363" s="16" t="s">
        <v>2787</v>
      </c>
      <c r="G363" s="16" t="s">
        <v>2788</v>
      </c>
      <c r="H363" s="16" t="s">
        <v>2789</v>
      </c>
      <c r="I363" s="152" t="s">
        <v>3046</v>
      </c>
      <c r="J363" s="16" t="s">
        <v>2790</v>
      </c>
      <c r="K363" s="16" t="s">
        <v>224</v>
      </c>
      <c r="L363" s="10" t="s">
        <v>2791</v>
      </c>
      <c r="M363" s="10" t="s">
        <v>2792</v>
      </c>
      <c r="N363" s="10" t="s">
        <v>2928</v>
      </c>
      <c r="O363" s="10" t="s">
        <v>3009</v>
      </c>
      <c r="P363" s="24">
        <f>676/1000</f>
        <v>0.67600000000000005</v>
      </c>
      <c r="Q363" s="37">
        <f>2186/3000</f>
        <v>0.72866666666666668</v>
      </c>
    </row>
    <row r="364" spans="1:17" s="20" customFormat="1" ht="249.95" customHeight="1" x14ac:dyDescent="0.35">
      <c r="A364" s="10" t="s">
        <v>2454</v>
      </c>
      <c r="B364" s="10" t="s">
        <v>3043</v>
      </c>
      <c r="C364" s="10" t="s">
        <v>17</v>
      </c>
      <c r="D364" s="10" t="s">
        <v>2744</v>
      </c>
      <c r="E364" s="10" t="s">
        <v>2745</v>
      </c>
      <c r="F364" s="10" t="s">
        <v>2746</v>
      </c>
      <c r="G364" s="16" t="s">
        <v>2793</v>
      </c>
      <c r="H364" s="16" t="s">
        <v>2794</v>
      </c>
      <c r="I364" s="152" t="s">
        <v>3046</v>
      </c>
      <c r="J364" s="16" t="s">
        <v>2795</v>
      </c>
      <c r="K364" s="16" t="s">
        <v>2710</v>
      </c>
      <c r="L364" s="16" t="s">
        <v>2797</v>
      </c>
      <c r="M364" s="16" t="s">
        <v>2798</v>
      </c>
      <c r="N364" s="16" t="s">
        <v>2799</v>
      </c>
      <c r="O364" s="16" t="s">
        <v>2800</v>
      </c>
      <c r="P364" s="94">
        <f>2/4</f>
        <v>0.5</v>
      </c>
      <c r="Q364" s="53">
        <f>7/12</f>
        <v>0.58333333333333337</v>
      </c>
    </row>
    <row r="365" spans="1:17" s="20" customFormat="1" ht="249.95" customHeight="1" x14ac:dyDescent="0.35">
      <c r="A365" s="10" t="s">
        <v>2454</v>
      </c>
      <c r="B365" s="10" t="s">
        <v>3043</v>
      </c>
      <c r="C365" s="10" t="s">
        <v>17</v>
      </c>
      <c r="D365" s="10" t="s">
        <v>2801</v>
      </c>
      <c r="E365" s="10" t="s">
        <v>2802</v>
      </c>
      <c r="F365" s="10" t="s">
        <v>2803</v>
      </c>
      <c r="G365" s="16" t="s">
        <v>2804</v>
      </c>
      <c r="H365" s="16" t="s">
        <v>2805</v>
      </c>
      <c r="I365" s="152" t="s">
        <v>3046</v>
      </c>
      <c r="J365" s="16" t="s">
        <v>2806</v>
      </c>
      <c r="K365" s="16" t="s">
        <v>2710</v>
      </c>
      <c r="L365" s="16" t="s">
        <v>2807</v>
      </c>
      <c r="M365" s="16" t="s">
        <v>2808</v>
      </c>
      <c r="N365" s="16" t="s">
        <v>2809</v>
      </c>
      <c r="O365" s="16" t="s">
        <v>2810</v>
      </c>
      <c r="P365" s="94">
        <f>2/4</f>
        <v>0.5</v>
      </c>
      <c r="Q365" s="68">
        <f>9/12</f>
        <v>0.75</v>
      </c>
    </row>
    <row r="366" spans="1:17" s="109" customFormat="1" ht="249.95" customHeight="1" x14ac:dyDescent="0.25">
      <c r="A366" s="10" t="s">
        <v>2454</v>
      </c>
      <c r="B366" s="10" t="s">
        <v>3043</v>
      </c>
      <c r="C366" s="10" t="s">
        <v>29</v>
      </c>
      <c r="D366" s="10" t="s">
        <v>30</v>
      </c>
      <c r="E366" s="10" t="s">
        <v>2811</v>
      </c>
      <c r="F366" s="10" t="s">
        <v>2812</v>
      </c>
      <c r="G366" s="16" t="s">
        <v>2813</v>
      </c>
      <c r="H366" s="16" t="s">
        <v>2814</v>
      </c>
      <c r="I366" s="152" t="s">
        <v>3046</v>
      </c>
      <c r="J366" s="16" t="s">
        <v>2815</v>
      </c>
      <c r="K366" s="16" t="s">
        <v>2710</v>
      </c>
      <c r="L366" s="16" t="s">
        <v>2816</v>
      </c>
      <c r="M366" s="16" t="s">
        <v>2817</v>
      </c>
      <c r="N366" s="16" t="s">
        <v>2818</v>
      </c>
      <c r="O366" s="16" t="s">
        <v>2819</v>
      </c>
      <c r="P366" s="108">
        <f>41/21</f>
        <v>1.9523809523809523</v>
      </c>
      <c r="Q366" s="68">
        <f>116/63</f>
        <v>1.8412698412698412</v>
      </c>
    </row>
    <row r="367" spans="1:17" s="20" customFormat="1" ht="329.25" customHeight="1" x14ac:dyDescent="0.35">
      <c r="A367" s="10" t="s">
        <v>2454</v>
      </c>
      <c r="B367" s="10" t="s">
        <v>3044</v>
      </c>
      <c r="C367" s="10" t="s">
        <v>29</v>
      </c>
      <c r="D367" s="10" t="s">
        <v>30</v>
      </c>
      <c r="E367" s="10" t="s">
        <v>720</v>
      </c>
      <c r="F367" s="10" t="s">
        <v>2820</v>
      </c>
      <c r="G367" s="16" t="s">
        <v>2821</v>
      </c>
      <c r="H367" s="16" t="s">
        <v>2822</v>
      </c>
      <c r="I367" s="152" t="s">
        <v>3046</v>
      </c>
      <c r="J367" s="16" t="s">
        <v>2823</v>
      </c>
      <c r="K367" s="16" t="s">
        <v>2710</v>
      </c>
      <c r="L367" s="16" t="s">
        <v>2824</v>
      </c>
      <c r="M367" s="16" t="s">
        <v>2825</v>
      </c>
      <c r="N367" s="16" t="s">
        <v>2826</v>
      </c>
      <c r="O367" s="16" t="s">
        <v>2827</v>
      </c>
      <c r="P367" s="108">
        <f>6/4</f>
        <v>1.5</v>
      </c>
      <c r="Q367" s="68">
        <f>21/14</f>
        <v>1.5</v>
      </c>
    </row>
    <row r="368" spans="1:17" s="20" customFormat="1" ht="249.95" customHeight="1" x14ac:dyDescent="0.35">
      <c r="A368" s="10" t="s">
        <v>2454</v>
      </c>
      <c r="B368" s="10" t="s">
        <v>3044</v>
      </c>
      <c r="C368" s="10" t="s">
        <v>17</v>
      </c>
      <c r="D368" s="10" t="s">
        <v>2796</v>
      </c>
      <c r="E368" s="10" t="s">
        <v>2711</v>
      </c>
      <c r="F368" s="10" t="s">
        <v>2828</v>
      </c>
      <c r="G368" s="16" t="s">
        <v>2829</v>
      </c>
      <c r="H368" s="16" t="s">
        <v>2830</v>
      </c>
      <c r="I368" s="152" t="s">
        <v>3046</v>
      </c>
      <c r="J368" s="16" t="s">
        <v>2831</v>
      </c>
      <c r="K368" s="16" t="s">
        <v>2710</v>
      </c>
      <c r="L368" s="16" t="s">
        <v>2832</v>
      </c>
      <c r="M368" s="16" t="s">
        <v>2833</v>
      </c>
      <c r="N368" s="16" t="s">
        <v>2834</v>
      </c>
      <c r="O368" s="16" t="s">
        <v>2835</v>
      </c>
      <c r="P368" s="94">
        <f>2/4</f>
        <v>0.5</v>
      </c>
      <c r="Q368" s="68">
        <f>8/10</f>
        <v>0.8</v>
      </c>
    </row>
    <row r="369" spans="1:17" s="20" customFormat="1" ht="249.95" customHeight="1" x14ac:dyDescent="0.35">
      <c r="A369" s="10" t="s">
        <v>2454</v>
      </c>
      <c r="B369" s="10" t="s">
        <v>3044</v>
      </c>
      <c r="C369" s="10" t="s">
        <v>17</v>
      </c>
      <c r="D369" s="10" t="s">
        <v>2836</v>
      </c>
      <c r="E369" s="16" t="s">
        <v>2837</v>
      </c>
      <c r="F369" s="16" t="s">
        <v>2838</v>
      </c>
      <c r="G369" s="16" t="s">
        <v>2839</v>
      </c>
      <c r="H369" s="16" t="s">
        <v>2840</v>
      </c>
      <c r="I369" s="152" t="s">
        <v>3046</v>
      </c>
      <c r="J369" s="16" t="s">
        <v>2841</v>
      </c>
      <c r="K369" s="16" t="s">
        <v>2710</v>
      </c>
      <c r="L369" s="16" t="s">
        <v>2842</v>
      </c>
      <c r="M369" s="16" t="s">
        <v>2843</v>
      </c>
      <c r="N369" s="16" t="s">
        <v>2844</v>
      </c>
      <c r="O369" s="16" t="s">
        <v>2845</v>
      </c>
      <c r="P369" s="108">
        <f>10/4</f>
        <v>2.5</v>
      </c>
      <c r="Q369" s="68">
        <f>19/12</f>
        <v>1.5833333333333333</v>
      </c>
    </row>
    <row r="370" spans="1:17" s="20" customFormat="1" ht="249.95" customHeight="1" x14ac:dyDescent="0.35">
      <c r="A370" s="10" t="s">
        <v>2454</v>
      </c>
      <c r="B370" s="10" t="s">
        <v>3044</v>
      </c>
      <c r="C370" s="10" t="s">
        <v>29</v>
      </c>
      <c r="D370" s="10" t="s">
        <v>30</v>
      </c>
      <c r="E370" s="10" t="s">
        <v>2846</v>
      </c>
      <c r="F370" s="10" t="s">
        <v>2718</v>
      </c>
      <c r="G370" s="16" t="s">
        <v>2847</v>
      </c>
      <c r="H370" s="16" t="s">
        <v>2848</v>
      </c>
      <c r="I370" s="152" t="s">
        <v>3046</v>
      </c>
      <c r="J370" s="16" t="s">
        <v>2849</v>
      </c>
      <c r="K370" s="16" t="s">
        <v>2710</v>
      </c>
      <c r="L370" s="16" t="s">
        <v>2850</v>
      </c>
      <c r="M370" s="16" t="s">
        <v>2851</v>
      </c>
      <c r="N370" s="16" t="s">
        <v>2834</v>
      </c>
      <c r="O370" s="16" t="s">
        <v>2852</v>
      </c>
      <c r="P370" s="108">
        <f>2/2</f>
        <v>1</v>
      </c>
      <c r="Q370" s="68">
        <f>7/8</f>
        <v>0.875</v>
      </c>
    </row>
    <row r="371" spans="1:17" ht="62.25" customHeight="1" x14ac:dyDescent="0.45"/>
  </sheetData>
  <autoFilter ref="A2:Q2"/>
  <mergeCells count="11">
    <mergeCell ref="B1:B2"/>
    <mergeCell ref="N1:O1"/>
    <mergeCell ref="P1:Q1"/>
    <mergeCell ref="J1:J2"/>
    <mergeCell ref="K1:K2"/>
    <mergeCell ref="C1:C2"/>
    <mergeCell ref="D1:F1"/>
    <mergeCell ref="G1:G2"/>
    <mergeCell ref="H1:H2"/>
    <mergeCell ref="I1:I2"/>
    <mergeCell ref="A1:A2"/>
  </mergeCells>
  <printOptions horizontalCentered="1"/>
  <pageMargins left="0" right="0" top="0" bottom="0" header="0" footer="0"/>
  <pageSetup paperSize="5" scale="42" fitToHeight="0" orientation="landscape" r:id="rId1"/>
  <headerFooter>
    <oddFooter>&amp;CPágina &amp;P de &amp;N&amp;RFecha de Actualización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BD-PMD 2013-2016</vt:lpstr>
      <vt:lpstr>'BD-PMD 2013-2016'!Área_de_impresión</vt:lpstr>
      <vt:lpstr>'BD-PMD 2013-2016'!Títulos_a_imprimir</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 Antonio Villalobos Garcia</dc:creator>
  <cp:lastModifiedBy>Paulo Adrian Quintana Carrasco</cp:lastModifiedBy>
  <dcterms:created xsi:type="dcterms:W3CDTF">2016-07-26T20:53:37Z</dcterms:created>
  <dcterms:modified xsi:type="dcterms:W3CDTF">2017-09-13T16:59:45Z</dcterms:modified>
</cp:coreProperties>
</file>